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\skolestruktur\"/>
    </mc:Choice>
  </mc:AlternateContent>
  <bookViews>
    <workbookView xWindow="0" yWindow="0" windowWidth="23040" windowHeight="9195" activeTab="1"/>
  </bookViews>
  <sheets>
    <sheet name="Skoledrift" sheetId="3" r:id="rId1"/>
    <sheet name="Skolebygg og oppsummering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4" l="1"/>
  <c r="H35" i="3" l="1"/>
  <c r="D36" i="3"/>
  <c r="C20" i="4" l="1"/>
  <c r="C38" i="4" l="1"/>
  <c r="C37" i="4"/>
  <c r="C34" i="4"/>
  <c r="C19" i="4"/>
  <c r="Q51" i="4" l="1"/>
  <c r="Q49" i="4"/>
  <c r="Q48" i="4"/>
  <c r="Q47" i="4"/>
  <c r="R39" i="4" l="1"/>
  <c r="M37" i="4"/>
  <c r="M36" i="4"/>
  <c r="M35" i="4"/>
  <c r="Q20" i="3"/>
  <c r="Q24" i="3"/>
  <c r="Q23" i="3"/>
  <c r="Q22" i="3"/>
  <c r="P33" i="4"/>
  <c r="C21" i="4"/>
  <c r="D22" i="3"/>
  <c r="G35" i="3"/>
  <c r="F35" i="3"/>
  <c r="E35" i="3"/>
  <c r="H21" i="3"/>
  <c r="G21" i="3"/>
  <c r="F21" i="3"/>
  <c r="E21" i="3"/>
  <c r="H49" i="3"/>
  <c r="G49" i="3"/>
  <c r="F49" i="3"/>
  <c r="E49" i="3"/>
  <c r="D50" i="3"/>
  <c r="F36" i="4" l="1"/>
  <c r="N33" i="4"/>
  <c r="R29" i="3"/>
  <c r="R28" i="3"/>
  <c r="R27" i="3"/>
  <c r="R26" i="3"/>
  <c r="R25" i="3"/>
  <c r="R24" i="3"/>
  <c r="R23" i="3"/>
  <c r="R22" i="3"/>
  <c r="R21" i="3"/>
  <c r="H68" i="3"/>
  <c r="D68" i="3"/>
  <c r="H66" i="3"/>
  <c r="G66" i="3"/>
  <c r="G65" i="3"/>
  <c r="F66" i="3"/>
  <c r="F61" i="3"/>
  <c r="E66" i="3"/>
  <c r="E65" i="3"/>
  <c r="E61" i="3"/>
  <c r="D62" i="3"/>
  <c r="H36" i="4"/>
  <c r="N34" i="4"/>
  <c r="N35" i="4"/>
  <c r="N36" i="4"/>
  <c r="N37" i="4"/>
  <c r="N38" i="4"/>
  <c r="N39" i="4"/>
  <c r="N40" i="4"/>
  <c r="N41" i="4"/>
  <c r="N42" i="4"/>
  <c r="L34" i="4"/>
  <c r="L35" i="4"/>
  <c r="L36" i="4"/>
  <c r="L37" i="4"/>
  <c r="L38" i="4"/>
  <c r="L39" i="4"/>
  <c r="L40" i="4"/>
  <c r="L41" i="4"/>
  <c r="L42" i="4"/>
  <c r="L33" i="4"/>
  <c r="D38" i="4"/>
  <c r="H37" i="4"/>
  <c r="F37" i="4"/>
  <c r="R40" i="4" s="1"/>
  <c r="D35" i="4"/>
  <c r="H34" i="4"/>
  <c r="G34" i="4"/>
  <c r="F34" i="4"/>
  <c r="E34" i="4"/>
  <c r="H33" i="4"/>
  <c r="G33" i="4"/>
  <c r="R41" i="4" s="1"/>
  <c r="D33" i="4"/>
  <c r="H21" i="4"/>
  <c r="G21" i="4"/>
  <c r="F21" i="4"/>
  <c r="E21" i="4"/>
  <c r="D22" i="4"/>
  <c r="D21" i="4"/>
  <c r="H23" i="4"/>
  <c r="F23" i="4"/>
  <c r="D24" i="4"/>
  <c r="D23" i="4"/>
  <c r="H20" i="4"/>
  <c r="G20" i="4"/>
  <c r="F20" i="4"/>
  <c r="E20" i="4"/>
  <c r="H19" i="4"/>
  <c r="C24" i="4"/>
  <c r="C23" i="4"/>
  <c r="C22" i="4"/>
  <c r="E22" i="4" s="1"/>
  <c r="G19" i="4"/>
  <c r="H7" i="4"/>
  <c r="G7" i="4"/>
  <c r="F7" i="4"/>
  <c r="E7" i="4"/>
  <c r="D8" i="4"/>
  <c r="E12" i="4"/>
  <c r="F12" i="4"/>
  <c r="H9" i="4"/>
  <c r="F9" i="4"/>
  <c r="C10" i="4"/>
  <c r="D10" i="4" s="1"/>
  <c r="C9" i="4"/>
  <c r="D9" i="4" s="1"/>
  <c r="C8" i="4"/>
  <c r="C6" i="4"/>
  <c r="C5" i="4"/>
  <c r="H8" i="4"/>
  <c r="H12" i="4" s="1"/>
  <c r="G8" i="4"/>
  <c r="G12" i="4" s="1"/>
  <c r="H6" i="4"/>
  <c r="G6" i="4"/>
  <c r="F6" i="4"/>
  <c r="E6" i="4"/>
  <c r="H5" i="4"/>
  <c r="G5" i="4"/>
  <c r="C7" i="4"/>
  <c r="D5" i="4"/>
  <c r="D12" i="4" s="1"/>
  <c r="P29" i="3"/>
  <c r="P28" i="3"/>
  <c r="P27" i="3"/>
  <c r="P26" i="3"/>
  <c r="P25" i="3"/>
  <c r="P24" i="3"/>
  <c r="P23" i="3"/>
  <c r="P22" i="3"/>
  <c r="P21" i="3"/>
  <c r="P20" i="3"/>
  <c r="H12" i="3"/>
  <c r="G12" i="3"/>
  <c r="F12" i="3"/>
  <c r="E12" i="3"/>
  <c r="D12" i="3"/>
  <c r="C12" i="3"/>
  <c r="E26" i="3"/>
  <c r="F26" i="3"/>
  <c r="H40" i="3"/>
  <c r="Q25" i="3" s="1"/>
  <c r="M38" i="4" s="1"/>
  <c r="D52" i="3"/>
  <c r="H51" i="3"/>
  <c r="F51" i="3"/>
  <c r="D51" i="3"/>
  <c r="H50" i="3"/>
  <c r="G50" i="3"/>
  <c r="F50" i="3"/>
  <c r="E50" i="3"/>
  <c r="D49" i="3"/>
  <c r="H48" i="3"/>
  <c r="G48" i="3"/>
  <c r="F48" i="3"/>
  <c r="E48" i="3"/>
  <c r="H47" i="3"/>
  <c r="G47" i="3"/>
  <c r="D47" i="3"/>
  <c r="D38" i="3"/>
  <c r="H37" i="3"/>
  <c r="F37" i="3"/>
  <c r="D37" i="3"/>
  <c r="H36" i="3"/>
  <c r="G36" i="3"/>
  <c r="F36" i="3"/>
  <c r="F40" i="3" s="1"/>
  <c r="E36" i="3"/>
  <c r="D35" i="3"/>
  <c r="D40" i="3" s="1"/>
  <c r="Q21" i="3" s="1"/>
  <c r="H34" i="3"/>
  <c r="G34" i="3"/>
  <c r="F34" i="3"/>
  <c r="E34" i="3"/>
  <c r="E40" i="3" s="1"/>
  <c r="H33" i="3"/>
  <c r="G33" i="3"/>
  <c r="G40" i="3" s="1"/>
  <c r="D33" i="3"/>
  <c r="D24" i="3"/>
  <c r="H23" i="3"/>
  <c r="F23" i="3"/>
  <c r="D23" i="3"/>
  <c r="H22" i="3"/>
  <c r="G22" i="3"/>
  <c r="F22" i="3"/>
  <c r="E22" i="3"/>
  <c r="D21" i="3"/>
  <c r="H20" i="3"/>
  <c r="G20" i="3"/>
  <c r="F20" i="3"/>
  <c r="E20" i="3"/>
  <c r="H19" i="3"/>
  <c r="G19" i="3"/>
  <c r="G26" i="3" s="1"/>
  <c r="D19" i="3"/>
  <c r="D26" i="3" s="1"/>
  <c r="C5" i="3"/>
  <c r="D5" i="3" s="1"/>
  <c r="F9" i="3"/>
  <c r="D7" i="3"/>
  <c r="F6" i="3"/>
  <c r="G5" i="3"/>
  <c r="G7" i="3"/>
  <c r="H7" i="3"/>
  <c r="F7" i="3"/>
  <c r="E7" i="3"/>
  <c r="C10" i="3"/>
  <c r="D10" i="3" s="1"/>
  <c r="C9" i="3"/>
  <c r="D9" i="3" s="1"/>
  <c r="C8" i="3"/>
  <c r="H8" i="3" s="1"/>
  <c r="C7" i="3"/>
  <c r="C6" i="3"/>
  <c r="H6" i="3" s="1"/>
  <c r="D8" i="3"/>
  <c r="Q29" i="3" l="1"/>
  <c r="M42" i="4" s="1"/>
  <c r="Q28" i="3"/>
  <c r="M41" i="4" s="1"/>
  <c r="Q27" i="3"/>
  <c r="M40" i="4" s="1"/>
  <c r="Q26" i="3"/>
  <c r="M39" i="4" s="1"/>
  <c r="M34" i="4"/>
  <c r="G22" i="4"/>
  <c r="G26" i="4" s="1"/>
  <c r="H22" i="4"/>
  <c r="F22" i="4"/>
  <c r="F26" i="4" s="1"/>
  <c r="H26" i="4"/>
  <c r="Q55" i="4"/>
  <c r="Q53" i="4"/>
  <c r="C40" i="4"/>
  <c r="R33" i="4" s="1"/>
  <c r="G36" i="4"/>
  <c r="G40" i="4" s="1"/>
  <c r="R37" i="4" s="1"/>
  <c r="D37" i="4"/>
  <c r="D40" i="4" s="1"/>
  <c r="R34" i="4" s="1"/>
  <c r="Q52" i="4"/>
  <c r="Q50" i="4"/>
  <c r="Q54" i="4" s="1"/>
  <c r="E54" i="3"/>
  <c r="H26" i="3"/>
  <c r="D54" i="3"/>
  <c r="F54" i="3"/>
  <c r="H54" i="3"/>
  <c r="G54" i="3"/>
  <c r="D19" i="4"/>
  <c r="H40" i="4"/>
  <c r="R38" i="4" s="1"/>
  <c r="E36" i="4"/>
  <c r="E40" i="4" s="1"/>
  <c r="R35" i="4" s="1"/>
  <c r="R42" i="4"/>
  <c r="H5" i="3"/>
  <c r="E6" i="3"/>
  <c r="E8" i="3"/>
  <c r="H9" i="3"/>
  <c r="F8" i="3"/>
  <c r="G8" i="3"/>
  <c r="G6" i="3"/>
  <c r="F40" i="4"/>
  <c r="R36" i="4" s="1"/>
  <c r="C12" i="4"/>
  <c r="G68" i="3"/>
  <c r="F68" i="3"/>
  <c r="E68" i="3"/>
  <c r="C68" i="3"/>
  <c r="D26" i="4" l="1"/>
  <c r="C26" i="4"/>
  <c r="P34" i="4" s="1"/>
  <c r="C40" i="3"/>
  <c r="C26" i="3"/>
  <c r="C54" i="3"/>
  <c r="Q33" i="4" s="1"/>
  <c r="E26" i="4"/>
  <c r="P40" i="4" l="1"/>
  <c r="Q40" i="4" s="1"/>
  <c r="L53" i="4" s="1"/>
  <c r="P39" i="4"/>
  <c r="Q39" i="4" s="1"/>
  <c r="L52" i="4" s="1"/>
  <c r="P36" i="4"/>
  <c r="Q36" i="4" s="1"/>
  <c r="P35" i="4"/>
  <c r="Q35" i="4" s="1"/>
  <c r="P38" i="4"/>
  <c r="Q38" i="4" s="1"/>
  <c r="L51" i="4" s="1"/>
  <c r="P37" i="4"/>
  <c r="Q37" i="4" s="1"/>
  <c r="L50" i="4" s="1"/>
  <c r="Q34" i="4"/>
  <c r="L47" i="4" s="1"/>
  <c r="L48" i="4"/>
  <c r="L49" i="4"/>
  <c r="P41" i="4" l="1"/>
  <c r="Q41" i="4" s="1"/>
  <c r="L54" i="4" s="1"/>
  <c r="P42" i="4"/>
  <c r="Q42" i="4" s="1"/>
  <c r="L55" i="4" s="1"/>
</calcChain>
</file>

<file path=xl/sharedStrings.xml><?xml version="1.0" encoding="utf-8"?>
<sst xmlns="http://schemas.openxmlformats.org/spreadsheetml/2006/main" count="314" uniqueCount="75">
  <si>
    <t>Skole</t>
  </si>
  <si>
    <t xml:space="preserve">Ant elever 2020-2021 </t>
  </si>
  <si>
    <t>Kapasitet 2020-2021</t>
  </si>
  <si>
    <t>Ant elever SFO 2020 Omregnet i hele plasser</t>
  </si>
  <si>
    <t>Oppfyllingsgrad</t>
  </si>
  <si>
    <t>Alternativ 0</t>
  </si>
  <si>
    <t>Alternativ 1</t>
  </si>
  <si>
    <t>Alternativ 2</t>
  </si>
  <si>
    <t>Alternativ 3</t>
  </si>
  <si>
    <t>Alternativ 4</t>
  </si>
  <si>
    <t>Alternativ 5</t>
  </si>
  <si>
    <t>Arstad skole</t>
  </si>
  <si>
    <t>Breidablikk skole</t>
  </si>
  <si>
    <t>Til Romedal B</t>
  </si>
  <si>
    <t>Espa skole</t>
  </si>
  <si>
    <t>Til Tangen</t>
  </si>
  <si>
    <t>Hoberg skole*</t>
  </si>
  <si>
    <t>Romedal B 1p</t>
  </si>
  <si>
    <t>Tangen skole</t>
  </si>
  <si>
    <t>Romedal B 2p</t>
  </si>
  <si>
    <t>Vallset skole</t>
  </si>
  <si>
    <t>Romedal B 3p</t>
  </si>
  <si>
    <t>Åsbygda skole</t>
  </si>
  <si>
    <t>Solvin skole</t>
  </si>
  <si>
    <t>Stange skole</t>
  </si>
  <si>
    <t>Totalt</t>
  </si>
  <si>
    <t>RB 1-parallell</t>
  </si>
  <si>
    <t>RB 3-parallell</t>
  </si>
  <si>
    <t>RB 2-parallell</t>
  </si>
  <si>
    <t>Vallset Skole</t>
  </si>
  <si>
    <t>Oppsummering alternativer</t>
  </si>
  <si>
    <t>Drift Skole/sfo</t>
  </si>
  <si>
    <t>Endring skyss</t>
  </si>
  <si>
    <t>Sum</t>
  </si>
  <si>
    <t>Alternativ 1+2</t>
  </si>
  <si>
    <t>Alternativ 1+3</t>
  </si>
  <si>
    <t>Alternativ 1+4</t>
  </si>
  <si>
    <t>Alternativ 1+5</t>
  </si>
  <si>
    <t>SFO-kostnader</t>
  </si>
  <si>
    <t>Skoleskyss</t>
  </si>
  <si>
    <t>2022-tall</t>
  </si>
  <si>
    <t>Areal skolebygg (BTA) kvm</t>
  </si>
  <si>
    <t>Areal ute  kvm</t>
  </si>
  <si>
    <t>Bygningsareal kvm</t>
  </si>
  <si>
    <t>Hoberg skole</t>
  </si>
  <si>
    <t>Romedal B 1-parallell</t>
  </si>
  <si>
    <t>Romedal B 2-parallell</t>
  </si>
  <si>
    <t>Romedal B 3-parallell</t>
  </si>
  <si>
    <t>Totalt kvm</t>
  </si>
  <si>
    <t>Tangen m/Espa</t>
  </si>
  <si>
    <t>FDVU - kost /BTA m2</t>
  </si>
  <si>
    <t>Rehab/oppgrad kostn inne / kvm</t>
  </si>
  <si>
    <t>Rehab/oppgrad kostn ute / kvm</t>
  </si>
  <si>
    <t>Investeringsbehov</t>
  </si>
  <si>
    <t>Oppsummering alternativer - skoledrift og skolebygg</t>
  </si>
  <si>
    <t>BTA skoler kvm</t>
  </si>
  <si>
    <t>Drift bygg</t>
  </si>
  <si>
    <t>Tot årlig drift</t>
  </si>
  <si>
    <t>Breidablikk skole*</t>
  </si>
  <si>
    <t>Mulighetsstudie nybygg</t>
  </si>
  <si>
    <t>Mulighetsstudie varianter av om og utbygging</t>
  </si>
  <si>
    <t>Potensiell innsparing årlig drift</t>
  </si>
  <si>
    <t>Lærernorm</t>
  </si>
  <si>
    <t>Reduksjon årsverk</t>
  </si>
  <si>
    <t>Ledelsesressurs</t>
  </si>
  <si>
    <t>Endring ledelse</t>
  </si>
  <si>
    <t xml:space="preserve">Solvin/Romedal barneskole </t>
  </si>
  <si>
    <t>Solvin/Romedal barneskole</t>
  </si>
  <si>
    <t>Solvin/Romedal barneskole*</t>
  </si>
  <si>
    <t>*Breidablikk</t>
  </si>
  <si>
    <t>*Solvin/Romedal barneskole</t>
  </si>
  <si>
    <t>Kr 525/kvm*20 år</t>
  </si>
  <si>
    <t>FDV-kostnader</t>
  </si>
  <si>
    <t>Potensiell mindrekostnad investering / eiekostnad</t>
  </si>
  <si>
    <t>Invest/eiekost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</si>
</sst>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kr&quot;\ * #,##0.00_ ;_ &quot;kr&quot;\ * \-#,##0.00_ ;_ &quot;kr&quot;\ * &quot;-&quot;??_ ;_ @_ "/>
    <numFmt numFmtId="164" formatCode="_ &quot;kr&quot;\ * #,##0_ ;_ &quot;kr&quot;\ * \-#,##0_ ;_ &quot;kr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44" fontId="0" fillId="0" borderId="1" xfId="0" applyNumberFormat="1" applyBorder="1"/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3" borderId="1" xfId="0" applyFill="1" applyBorder="1"/>
    <xf numFmtId="164" fontId="0" fillId="4" borderId="1" xfId="0" applyNumberFormat="1" applyFill="1" applyBorder="1"/>
    <xf numFmtId="0" fontId="0" fillId="4" borderId="1" xfId="0" applyFill="1" applyBorder="1"/>
    <xf numFmtId="9" fontId="0" fillId="5" borderId="1" xfId="0" applyNumberFormat="1" applyFill="1" applyBorder="1"/>
    <xf numFmtId="0" fontId="0" fillId="5" borderId="1" xfId="0" applyFill="1" applyBorder="1"/>
    <xf numFmtId="9" fontId="0" fillId="3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0" borderId="0" xfId="0" applyNumberFormat="1"/>
    <xf numFmtId="0" fontId="4" fillId="6" borderId="1" xfId="0" applyFont="1" applyFill="1" applyBorder="1" applyAlignment="1">
      <alignment vertical="top" wrapText="1"/>
    </xf>
    <xf numFmtId="0" fontId="0" fillId="0" borderId="4" xfId="0" applyBorder="1"/>
    <xf numFmtId="0" fontId="5" fillId="4" borderId="1" xfId="0" applyFont="1" applyFill="1" applyBorder="1"/>
    <xf numFmtId="0" fontId="0" fillId="7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7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4" fontId="0" fillId="5" borderId="2" xfId="0" applyNumberFormat="1" applyFill="1" applyBorder="1" applyAlignment="1">
      <alignment horizontal="center"/>
    </xf>
    <xf numFmtId="44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zoomScaleNormal="100" workbookViewId="0">
      <selection activeCell="H36" sqref="H36"/>
    </sheetView>
  </sheetViews>
  <sheetFormatPr baseColWidth="10" defaultColWidth="11.42578125" defaultRowHeight="15" x14ac:dyDescent="0.25"/>
  <cols>
    <col min="1" max="1" width="3.7109375" customWidth="1"/>
    <col min="2" max="2" width="27.7109375" customWidth="1"/>
    <col min="3" max="4" width="15" customWidth="1"/>
    <col min="5" max="5" width="15.28515625" customWidth="1"/>
    <col min="6" max="6" width="15" customWidth="1"/>
    <col min="7" max="7" width="16.140625" customWidth="1"/>
    <col min="8" max="8" width="16" customWidth="1"/>
    <col min="9" max="9" width="5.28515625" customWidth="1"/>
    <col min="10" max="10" width="5.5703125" customWidth="1"/>
    <col min="11" max="11" width="17.140625" customWidth="1"/>
    <col min="15" max="15" width="13" customWidth="1"/>
    <col min="16" max="16" width="16" customWidth="1"/>
    <col min="17" max="17" width="19.42578125" customWidth="1"/>
    <col min="18" max="18" width="17.85546875" customWidth="1"/>
    <col min="19" max="19" width="5.42578125" customWidth="1"/>
    <col min="20" max="20" width="17.140625" customWidth="1"/>
  </cols>
  <sheetData>
    <row r="1" spans="2:14" ht="72" customHeight="1" x14ac:dyDescent="0.25"/>
    <row r="2" spans="2:14" ht="75" x14ac:dyDescent="0.25">
      <c r="K2" s="6" t="s">
        <v>0</v>
      </c>
      <c r="L2" s="7" t="s">
        <v>1</v>
      </c>
      <c r="M2" s="7" t="s">
        <v>2</v>
      </c>
      <c r="N2" s="7" t="s">
        <v>3</v>
      </c>
    </row>
    <row r="3" spans="2:14" x14ac:dyDescent="0.25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K3" s="8" t="s">
        <v>11</v>
      </c>
      <c r="L3" s="11">
        <v>283</v>
      </c>
      <c r="M3" s="11">
        <v>330</v>
      </c>
      <c r="N3" s="11">
        <v>91</v>
      </c>
    </row>
    <row r="4" spans="2:14" x14ac:dyDescent="0.25">
      <c r="B4" s="3"/>
      <c r="C4" s="3"/>
      <c r="D4" s="3"/>
      <c r="E4" s="23"/>
      <c r="F4" s="23"/>
      <c r="G4" s="3"/>
      <c r="H4" s="3"/>
      <c r="K4" s="8" t="s">
        <v>12</v>
      </c>
      <c r="L4" s="11">
        <v>103</v>
      </c>
      <c r="M4" s="11">
        <v>140</v>
      </c>
      <c r="N4" s="11">
        <v>22</v>
      </c>
    </row>
    <row r="5" spans="2:14" x14ac:dyDescent="0.25">
      <c r="B5" s="3" t="s">
        <v>12</v>
      </c>
      <c r="C5" s="12">
        <f>L4/M4</f>
        <v>0.73571428571428577</v>
      </c>
      <c r="D5" s="12">
        <f>C5</f>
        <v>0.73571428571428577</v>
      </c>
      <c r="E5" s="22" t="s">
        <v>13</v>
      </c>
      <c r="F5" s="22" t="s">
        <v>13</v>
      </c>
      <c r="G5" s="12">
        <f>C5</f>
        <v>0.73571428571428577</v>
      </c>
      <c r="H5" s="12">
        <f>C5</f>
        <v>0.73571428571428577</v>
      </c>
      <c r="K5" s="8" t="s">
        <v>14</v>
      </c>
      <c r="L5" s="11">
        <v>47</v>
      </c>
      <c r="M5" s="11">
        <v>49</v>
      </c>
      <c r="N5" s="11">
        <v>11</v>
      </c>
    </row>
    <row r="6" spans="2:14" x14ac:dyDescent="0.25">
      <c r="B6" s="3" t="s">
        <v>14</v>
      </c>
      <c r="C6" s="12">
        <f>L5/M5</f>
        <v>0.95918367346938771</v>
      </c>
      <c r="D6" s="22" t="s">
        <v>15</v>
      </c>
      <c r="E6" s="12">
        <f>C6</f>
        <v>0.95918367346938771</v>
      </c>
      <c r="F6" s="12">
        <f>C6</f>
        <v>0.95918367346938771</v>
      </c>
      <c r="G6" s="12">
        <f>C6</f>
        <v>0.95918367346938771</v>
      </c>
      <c r="H6" s="12">
        <f>C6</f>
        <v>0.95918367346938771</v>
      </c>
      <c r="K6" s="8" t="s">
        <v>16</v>
      </c>
      <c r="L6" s="11">
        <v>333</v>
      </c>
      <c r="M6" s="11">
        <v>630</v>
      </c>
      <c r="N6" s="11">
        <v>91</v>
      </c>
    </row>
    <row r="7" spans="2:14" x14ac:dyDescent="0.25">
      <c r="B7" s="3" t="s">
        <v>66</v>
      </c>
      <c r="C7" s="12">
        <f>L10/M10</f>
        <v>0.95757575757575752</v>
      </c>
      <c r="D7" s="12">
        <f>C7</f>
        <v>0.95757575757575752</v>
      </c>
      <c r="E7" s="14">
        <f>(L10+L4+L13+L14)/M9</f>
        <v>0.78487394957983192</v>
      </c>
      <c r="F7" s="14">
        <f>(L10+L4+L14)/M8</f>
        <v>0.83896103896103891</v>
      </c>
      <c r="G7" s="14">
        <f>(L10+L13+L14)/M9</f>
        <v>0.61176470588235299</v>
      </c>
      <c r="H7" s="14">
        <f>(L10+L14)/M8</f>
        <v>0.5714285714285714</v>
      </c>
      <c r="K7" s="8" t="s">
        <v>17</v>
      </c>
      <c r="L7" s="11"/>
      <c r="M7" s="11">
        <v>175</v>
      </c>
      <c r="N7" s="11"/>
    </row>
    <row r="8" spans="2:14" x14ac:dyDescent="0.25">
      <c r="B8" s="3" t="s">
        <v>18</v>
      </c>
      <c r="C8" s="12">
        <f>L12/M12</f>
        <v>0.46060606060606063</v>
      </c>
      <c r="D8" s="14">
        <f>(L5+L12)/175</f>
        <v>0.70285714285714285</v>
      </c>
      <c r="E8" s="12">
        <f>C8</f>
        <v>0.46060606060606063</v>
      </c>
      <c r="F8" s="12">
        <f>C8</f>
        <v>0.46060606060606063</v>
      </c>
      <c r="G8" s="12">
        <f>C8</f>
        <v>0.46060606060606063</v>
      </c>
      <c r="H8" s="12">
        <f>C8</f>
        <v>0.46060606060606063</v>
      </c>
      <c r="K8" s="8" t="s">
        <v>19</v>
      </c>
      <c r="L8" s="11"/>
      <c r="M8" s="11">
        <v>385</v>
      </c>
      <c r="N8" s="11"/>
    </row>
    <row r="9" spans="2:14" x14ac:dyDescent="0.25">
      <c r="B9" s="3" t="s">
        <v>20</v>
      </c>
      <c r="C9" s="12">
        <f>L13/M13</f>
        <v>0.96</v>
      </c>
      <c r="D9" s="12">
        <f>C9</f>
        <v>0.96</v>
      </c>
      <c r="E9" s="22" t="s">
        <v>13</v>
      </c>
      <c r="F9" s="12">
        <f>C9</f>
        <v>0.96</v>
      </c>
      <c r="G9" s="22" t="s">
        <v>13</v>
      </c>
      <c r="H9" s="12">
        <f>C9</f>
        <v>0.96</v>
      </c>
      <c r="K9" s="8" t="s">
        <v>21</v>
      </c>
      <c r="L9" s="11"/>
      <c r="M9" s="11">
        <v>595</v>
      </c>
      <c r="N9" s="11"/>
    </row>
    <row r="10" spans="2:14" x14ac:dyDescent="0.25">
      <c r="B10" s="3" t="s">
        <v>22</v>
      </c>
      <c r="C10" s="12">
        <f>L14/M14</f>
        <v>0.56880733944954132</v>
      </c>
      <c r="D10" s="12">
        <f>C10</f>
        <v>0.56880733944954132</v>
      </c>
      <c r="E10" s="22" t="s">
        <v>13</v>
      </c>
      <c r="F10" s="22" t="s">
        <v>13</v>
      </c>
      <c r="G10" s="22" t="s">
        <v>13</v>
      </c>
      <c r="H10" s="22" t="s">
        <v>13</v>
      </c>
      <c r="K10" s="8" t="s">
        <v>23</v>
      </c>
      <c r="L10" s="11">
        <v>158</v>
      </c>
      <c r="M10" s="11">
        <v>165</v>
      </c>
      <c r="N10" s="11">
        <v>44</v>
      </c>
    </row>
    <row r="11" spans="2:14" x14ac:dyDescent="0.25">
      <c r="B11" s="3"/>
      <c r="C11" s="3"/>
      <c r="D11" s="3"/>
      <c r="E11" s="3"/>
      <c r="F11" s="3"/>
      <c r="G11" s="3"/>
      <c r="H11" s="3"/>
      <c r="K11" s="8" t="s">
        <v>24</v>
      </c>
      <c r="L11" s="11">
        <v>331</v>
      </c>
      <c r="M11" s="11">
        <v>325</v>
      </c>
      <c r="N11" s="11">
        <v>84</v>
      </c>
    </row>
    <row r="12" spans="2:14" x14ac:dyDescent="0.25">
      <c r="B12" s="3" t="s">
        <v>25</v>
      </c>
      <c r="C12" s="12">
        <f>(L4+L5+L10+L12+L13+L14)/(M4+M5+M10+M12+M13+M14)</f>
        <v>0.75835475578406175</v>
      </c>
      <c r="D12" s="12">
        <f>(L4+L5+L10+L12+L13+L14)/(M4+M10+M13+M14+175)</f>
        <v>0.79837618403247634</v>
      </c>
      <c r="E12" s="12">
        <f>(L4+L5+L10+L12+L13+L14)/(M9+M5+M12)</f>
        <v>0.72929542645241041</v>
      </c>
      <c r="F12" s="12">
        <f>(L4+L5+L10+L12+L13+L14)/(M5+M8+M12+M13)</f>
        <v>0.78771695594125501</v>
      </c>
      <c r="G12" s="12">
        <f>(L4+L5+L10+L12+L13+L14)/(M4+M5+M9+M12)</f>
        <v>0.6217070600632244</v>
      </c>
      <c r="H12" s="12">
        <f>(L4+L5+L10+L12+L13+L14)/(M4+M5+M8+M12+M13)</f>
        <v>0.6636670416197975</v>
      </c>
      <c r="K12" s="8" t="s">
        <v>18</v>
      </c>
      <c r="L12" s="11">
        <v>76</v>
      </c>
      <c r="M12" s="11">
        <v>165</v>
      </c>
      <c r="N12" s="11">
        <v>25</v>
      </c>
    </row>
    <row r="13" spans="2:14" x14ac:dyDescent="0.25">
      <c r="C13" s="23" t="s">
        <v>26</v>
      </c>
      <c r="D13" s="23" t="s">
        <v>26</v>
      </c>
      <c r="E13" s="23" t="s">
        <v>27</v>
      </c>
      <c r="F13" s="23" t="s">
        <v>28</v>
      </c>
      <c r="G13" s="23" t="s">
        <v>27</v>
      </c>
      <c r="H13" s="23" t="s">
        <v>28</v>
      </c>
      <c r="K13" s="8" t="s">
        <v>29</v>
      </c>
      <c r="L13" s="11">
        <v>144</v>
      </c>
      <c r="M13" s="11">
        <v>150</v>
      </c>
      <c r="N13" s="11">
        <v>38</v>
      </c>
    </row>
    <row r="14" spans="2:14" x14ac:dyDescent="0.25">
      <c r="K14" s="8" t="s">
        <v>22</v>
      </c>
      <c r="L14" s="11">
        <v>62</v>
      </c>
      <c r="M14" s="11">
        <v>109</v>
      </c>
      <c r="N14" s="11">
        <v>11</v>
      </c>
    </row>
    <row r="17" spans="2:18" x14ac:dyDescent="0.25">
      <c r="B17" s="1" t="s">
        <v>62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9</v>
      </c>
      <c r="H17" s="1" t="s">
        <v>10</v>
      </c>
    </row>
    <row r="18" spans="2:18" x14ac:dyDescent="0.25">
      <c r="B18" s="3" t="s">
        <v>63</v>
      </c>
      <c r="C18" s="3"/>
      <c r="D18" s="3"/>
      <c r="E18" s="3"/>
      <c r="F18" s="3"/>
      <c r="G18" s="3"/>
      <c r="H18" s="3"/>
      <c r="K18" s="27"/>
      <c r="L18" s="27"/>
      <c r="M18" s="27"/>
      <c r="O18" s="26" t="s">
        <v>30</v>
      </c>
      <c r="P18" s="26"/>
      <c r="Q18" s="26"/>
      <c r="R18" s="26"/>
    </row>
    <row r="19" spans="2:18" x14ac:dyDescent="0.25">
      <c r="B19" s="3" t="s">
        <v>12</v>
      </c>
      <c r="C19" s="15"/>
      <c r="D19" s="15">
        <f>C19</f>
        <v>0</v>
      </c>
      <c r="E19" s="24" t="s">
        <v>13</v>
      </c>
      <c r="F19" s="24" t="s">
        <v>13</v>
      </c>
      <c r="G19" s="15">
        <f>C19</f>
        <v>0</v>
      </c>
      <c r="H19" s="15">
        <f>C19</f>
        <v>0</v>
      </c>
      <c r="K19" s="25"/>
      <c r="L19" s="25"/>
      <c r="M19" s="25"/>
      <c r="O19" s="21"/>
      <c r="P19" s="21" t="s">
        <v>4</v>
      </c>
      <c r="Q19" s="21" t="s">
        <v>31</v>
      </c>
      <c r="R19" s="21" t="s">
        <v>32</v>
      </c>
    </row>
    <row r="20" spans="2:18" x14ac:dyDescent="0.25">
      <c r="B20" s="3" t="s">
        <v>14</v>
      </c>
      <c r="C20" s="15"/>
      <c r="D20" s="24" t="s">
        <v>15</v>
      </c>
      <c r="E20" s="15">
        <f>C20</f>
        <v>0</v>
      </c>
      <c r="F20" s="15">
        <f>C20</f>
        <v>0</v>
      </c>
      <c r="G20" s="15">
        <f>C20</f>
        <v>0</v>
      </c>
      <c r="H20" s="15">
        <f>C20</f>
        <v>0</v>
      </c>
      <c r="K20" s="25"/>
      <c r="L20" s="25"/>
      <c r="M20" s="25"/>
      <c r="O20" s="3" t="s">
        <v>5</v>
      </c>
      <c r="P20" s="12">
        <f>C12</f>
        <v>0.75835475578406175</v>
      </c>
      <c r="Q20" s="15">
        <f>(C26-C26)+(C40-C40)+(C54-C54)</f>
        <v>0</v>
      </c>
      <c r="R20" s="13">
        <v>0</v>
      </c>
    </row>
    <row r="21" spans="2:18" x14ac:dyDescent="0.25">
      <c r="B21" s="3" t="s">
        <v>67</v>
      </c>
      <c r="C21" s="15"/>
      <c r="D21" s="15">
        <f>C21</f>
        <v>0</v>
      </c>
      <c r="E21" s="16">
        <f>4.21*750000</f>
        <v>3157500</v>
      </c>
      <c r="F21" s="16">
        <f>2.84*750000</f>
        <v>2130000</v>
      </c>
      <c r="G21" s="16">
        <f>2.12*750000</f>
        <v>1590000</v>
      </c>
      <c r="H21" s="16">
        <f>0.75*750000</f>
        <v>562500</v>
      </c>
      <c r="K21" s="25"/>
      <c r="L21" s="25"/>
      <c r="M21" s="25"/>
      <c r="O21" s="3" t="s">
        <v>6</v>
      </c>
      <c r="P21" s="12">
        <f>D12</f>
        <v>0.79837618403247634</v>
      </c>
      <c r="Q21" s="15">
        <f>D26+D40+(C54-D54)</f>
        <v>3347000</v>
      </c>
      <c r="R21" s="15">
        <f>D68</f>
        <v>222684</v>
      </c>
    </row>
    <row r="22" spans="2:18" x14ac:dyDescent="0.25">
      <c r="B22" s="3" t="s">
        <v>18</v>
      </c>
      <c r="C22" s="15"/>
      <c r="D22" s="16">
        <f>3.7*750000</f>
        <v>2775000</v>
      </c>
      <c r="E22" s="15">
        <f>C22</f>
        <v>0</v>
      </c>
      <c r="F22" s="15">
        <f>C22</f>
        <v>0</v>
      </c>
      <c r="G22" s="15">
        <f>C22</f>
        <v>0</v>
      </c>
      <c r="H22" s="15">
        <f>C22</f>
        <v>0</v>
      </c>
      <c r="O22" s="3" t="s">
        <v>7</v>
      </c>
      <c r="P22" s="12">
        <f>E12</f>
        <v>0.72929542645241041</v>
      </c>
      <c r="Q22" s="15">
        <f>E26+E40+(C54-E54)</f>
        <v>4532000</v>
      </c>
      <c r="R22" s="15">
        <f>E68</f>
        <v>1757262</v>
      </c>
    </row>
    <row r="23" spans="2:18" x14ac:dyDescent="0.25">
      <c r="B23" s="3" t="s">
        <v>20</v>
      </c>
      <c r="C23" s="15"/>
      <c r="D23" s="15">
        <f>C23</f>
        <v>0</v>
      </c>
      <c r="E23" s="24" t="s">
        <v>13</v>
      </c>
      <c r="F23" s="15">
        <f>C23</f>
        <v>0</v>
      </c>
      <c r="G23" s="24" t="s">
        <v>13</v>
      </c>
      <c r="H23" s="15">
        <f>C23</f>
        <v>0</v>
      </c>
      <c r="O23" s="3" t="s">
        <v>8</v>
      </c>
      <c r="P23" s="12">
        <f>F12</f>
        <v>0.78771695594125501</v>
      </c>
      <c r="Q23" s="15">
        <f>F26+F40+(C54-F54)</f>
        <v>3692000</v>
      </c>
      <c r="R23" s="15">
        <f>F68</f>
        <v>1126162</v>
      </c>
    </row>
    <row r="24" spans="2:18" x14ac:dyDescent="0.25">
      <c r="B24" s="3" t="s">
        <v>22</v>
      </c>
      <c r="C24" s="15"/>
      <c r="D24" s="15">
        <f>C24</f>
        <v>0</v>
      </c>
      <c r="E24" s="24" t="s">
        <v>13</v>
      </c>
      <c r="F24" s="24" t="s">
        <v>13</v>
      </c>
      <c r="G24" s="24" t="s">
        <v>13</v>
      </c>
      <c r="H24" s="24" t="s">
        <v>13</v>
      </c>
      <c r="O24" s="3" t="s">
        <v>9</v>
      </c>
      <c r="P24" s="12">
        <f>G12</f>
        <v>0.6217070600632244</v>
      </c>
      <c r="Q24" s="15">
        <f>G26+G40+(C54-G54)</f>
        <v>3178500</v>
      </c>
      <c r="R24" s="15">
        <f>G68</f>
        <v>1000488</v>
      </c>
    </row>
    <row r="25" spans="2:18" x14ac:dyDescent="0.25">
      <c r="B25" s="3"/>
      <c r="C25" s="4"/>
      <c r="D25" s="4"/>
      <c r="E25" s="4"/>
      <c r="F25" s="4"/>
      <c r="G25" s="4"/>
      <c r="H25" s="4"/>
      <c r="O25" s="3" t="s">
        <v>10</v>
      </c>
      <c r="P25" s="12">
        <f>H12</f>
        <v>0.6636670416197975</v>
      </c>
      <c r="Q25" s="15">
        <f>H26+H40+(C54-H54)</f>
        <v>1322000</v>
      </c>
      <c r="R25" s="15">
        <f>H68</f>
        <v>369388</v>
      </c>
    </row>
    <row r="26" spans="2:18" x14ac:dyDescent="0.25">
      <c r="B26" s="3" t="s">
        <v>33</v>
      </c>
      <c r="C26" s="15">
        <f>SUM(C19:C24)</f>
        <v>0</v>
      </c>
      <c r="D26" s="15">
        <f t="shared" ref="D26:H26" si="0">SUM(D19:D24)</f>
        <v>2775000</v>
      </c>
      <c r="E26" s="15">
        <f t="shared" si="0"/>
        <v>3157500</v>
      </c>
      <c r="F26" s="15">
        <f t="shared" si="0"/>
        <v>2130000</v>
      </c>
      <c r="G26" s="15">
        <f t="shared" si="0"/>
        <v>1590000</v>
      </c>
      <c r="H26" s="15">
        <f t="shared" si="0"/>
        <v>562500</v>
      </c>
      <c r="O26" s="3" t="s">
        <v>34</v>
      </c>
      <c r="P26" s="12">
        <f>(L4+L5+L10+L12+L13+L14)/(M9+175)</f>
        <v>0.76623376623376627</v>
      </c>
      <c r="Q26" s="15">
        <f>Q21+Q22</f>
        <v>7879000</v>
      </c>
      <c r="R26" s="15">
        <f>D68+E68</f>
        <v>1979946</v>
      </c>
    </row>
    <row r="27" spans="2:18" x14ac:dyDescent="0.25">
      <c r="C27" s="23" t="s">
        <v>26</v>
      </c>
      <c r="D27" s="23" t="s">
        <v>26</v>
      </c>
      <c r="E27" s="23" t="s">
        <v>27</v>
      </c>
      <c r="F27" s="23" t="s">
        <v>28</v>
      </c>
      <c r="G27" s="23" t="s">
        <v>27</v>
      </c>
      <c r="H27" s="23" t="s">
        <v>28</v>
      </c>
      <c r="O27" s="3" t="s">
        <v>35</v>
      </c>
      <c r="P27" s="12">
        <f>(L4+L5+L10+L12+L13+L14)/(M8+M13+175)</f>
        <v>0.83098591549295775</v>
      </c>
      <c r="Q27" s="15">
        <f>Q21+Q23</f>
        <v>7039000</v>
      </c>
      <c r="R27" s="15">
        <f>D68+F68</f>
        <v>1348846</v>
      </c>
    </row>
    <row r="28" spans="2:18" x14ac:dyDescent="0.25">
      <c r="O28" s="3" t="s">
        <v>36</v>
      </c>
      <c r="P28" s="12">
        <f>(L4+L5+L10+L12+L13+L14)/(M4+M9+175)</f>
        <v>0.64835164835164838</v>
      </c>
      <c r="Q28" s="15">
        <f>Q21+Q24</f>
        <v>6525500</v>
      </c>
      <c r="R28" s="15">
        <f>D68+G68</f>
        <v>1223172</v>
      </c>
    </row>
    <row r="29" spans="2:18" x14ac:dyDescent="0.25">
      <c r="O29" s="3" t="s">
        <v>37</v>
      </c>
      <c r="P29" s="12">
        <f>(L4+L5+L10+L12+L13+L14)/(M4+M8+M13+175)</f>
        <v>0.69411764705882351</v>
      </c>
      <c r="Q29" s="15">
        <f>Q21+Q25</f>
        <v>4669000</v>
      </c>
      <c r="R29" s="15">
        <f>D68+H68</f>
        <v>592072</v>
      </c>
    </row>
    <row r="31" spans="2:18" x14ac:dyDescent="0.25">
      <c r="B31" s="1" t="s">
        <v>64</v>
      </c>
      <c r="C31" s="1" t="s">
        <v>5</v>
      </c>
      <c r="D31" s="1" t="s">
        <v>6</v>
      </c>
      <c r="E31" s="1" t="s">
        <v>7</v>
      </c>
      <c r="F31" s="1" t="s">
        <v>8</v>
      </c>
      <c r="G31" s="1" t="s">
        <v>9</v>
      </c>
      <c r="H31" s="1" t="s">
        <v>10</v>
      </c>
    </row>
    <row r="32" spans="2:18" x14ac:dyDescent="0.25">
      <c r="B32" s="3" t="s">
        <v>65</v>
      </c>
      <c r="C32" s="3"/>
      <c r="D32" s="3"/>
      <c r="E32" s="3"/>
      <c r="F32" s="3"/>
      <c r="G32" s="3"/>
      <c r="H32" s="3"/>
      <c r="K32" s="27"/>
      <c r="L32" s="27"/>
      <c r="M32" s="27"/>
    </row>
    <row r="33" spans="2:13" x14ac:dyDescent="0.25">
      <c r="B33" s="3" t="s">
        <v>12</v>
      </c>
      <c r="C33" s="15"/>
      <c r="D33" s="15">
        <f>C33</f>
        <v>0</v>
      </c>
      <c r="E33" s="24" t="s">
        <v>13</v>
      </c>
      <c r="F33" s="24" t="s">
        <v>13</v>
      </c>
      <c r="G33" s="15">
        <f>C33</f>
        <v>0</v>
      </c>
      <c r="H33" s="15">
        <f>C33</f>
        <v>0</v>
      </c>
      <c r="K33" s="25"/>
      <c r="L33" s="25"/>
      <c r="M33" s="25"/>
    </row>
    <row r="34" spans="2:13" x14ac:dyDescent="0.25">
      <c r="B34" s="3" t="s">
        <v>14</v>
      </c>
      <c r="C34" s="15"/>
      <c r="D34" s="24" t="s">
        <v>15</v>
      </c>
      <c r="E34" s="15">
        <f>C34</f>
        <v>0</v>
      </c>
      <c r="F34" s="15">
        <f>C34</f>
        <v>0</v>
      </c>
      <c r="G34" s="15">
        <f>C34</f>
        <v>0</v>
      </c>
      <c r="H34" s="15">
        <f>C34</f>
        <v>0</v>
      </c>
      <c r="K34" s="25"/>
      <c r="L34" s="25"/>
      <c r="M34" s="25"/>
    </row>
    <row r="35" spans="2:13" x14ac:dyDescent="0.25">
      <c r="B35" s="3" t="s">
        <v>67</v>
      </c>
      <c r="C35" s="15"/>
      <c r="D35" s="15">
        <f>C35</f>
        <v>0</v>
      </c>
      <c r="E35" s="16">
        <f>975000*50%</f>
        <v>487500</v>
      </c>
      <c r="F35" s="16">
        <f>975000*100%</f>
        <v>975000</v>
      </c>
      <c r="G35" s="16">
        <f>975000*100%</f>
        <v>975000</v>
      </c>
      <c r="H35" s="16">
        <f>975000*50%</f>
        <v>487500</v>
      </c>
      <c r="K35" s="25"/>
      <c r="L35" s="25"/>
      <c r="M35" s="25"/>
    </row>
    <row r="36" spans="2:13" x14ac:dyDescent="0.25">
      <c r="B36" s="3" t="s">
        <v>18</v>
      </c>
      <c r="C36" s="15"/>
      <c r="D36" s="16">
        <f>975000*20%</f>
        <v>195000</v>
      </c>
      <c r="E36" s="15">
        <f>C36</f>
        <v>0</v>
      </c>
      <c r="F36" s="15">
        <f>C36</f>
        <v>0</v>
      </c>
      <c r="G36" s="15">
        <f>C36</f>
        <v>0</v>
      </c>
      <c r="H36" s="15">
        <f>C36</f>
        <v>0</v>
      </c>
    </row>
    <row r="37" spans="2:13" x14ac:dyDescent="0.25">
      <c r="B37" s="3" t="s">
        <v>20</v>
      </c>
      <c r="C37" s="15"/>
      <c r="D37" s="15">
        <f>C37</f>
        <v>0</v>
      </c>
      <c r="E37" s="24" t="s">
        <v>13</v>
      </c>
      <c r="F37" s="15">
        <f>C37</f>
        <v>0</v>
      </c>
      <c r="G37" s="24" t="s">
        <v>13</v>
      </c>
      <c r="H37" s="15">
        <f>C37</f>
        <v>0</v>
      </c>
    </row>
    <row r="38" spans="2:13" x14ac:dyDescent="0.25">
      <c r="B38" s="3" t="s">
        <v>22</v>
      </c>
      <c r="C38" s="15"/>
      <c r="D38" s="15">
        <f>C38</f>
        <v>0</v>
      </c>
      <c r="E38" s="24" t="s">
        <v>13</v>
      </c>
      <c r="F38" s="24" t="s">
        <v>13</v>
      </c>
      <c r="G38" s="24" t="s">
        <v>13</v>
      </c>
      <c r="H38" s="24" t="s">
        <v>13</v>
      </c>
    </row>
    <row r="39" spans="2:13" x14ac:dyDescent="0.25">
      <c r="B39" s="3"/>
      <c r="C39" s="4"/>
      <c r="D39" s="4"/>
      <c r="E39" s="4"/>
      <c r="F39" s="4"/>
      <c r="G39" s="4"/>
      <c r="H39" s="4"/>
    </row>
    <row r="40" spans="2:13" x14ac:dyDescent="0.25">
      <c r="B40" s="3" t="s">
        <v>33</v>
      </c>
      <c r="C40" s="15">
        <f>SUM(C33:C38)</f>
        <v>0</v>
      </c>
      <c r="D40" s="15">
        <f t="shared" ref="D40:H40" si="1">SUM(D33:D38)</f>
        <v>195000</v>
      </c>
      <c r="E40" s="15">
        <f t="shared" si="1"/>
        <v>487500</v>
      </c>
      <c r="F40" s="15">
        <f t="shared" si="1"/>
        <v>975000</v>
      </c>
      <c r="G40" s="15">
        <f t="shared" si="1"/>
        <v>975000</v>
      </c>
      <c r="H40" s="15">
        <f t="shared" si="1"/>
        <v>487500</v>
      </c>
    </row>
    <row r="41" spans="2:13" x14ac:dyDescent="0.25">
      <c r="C41" s="23" t="s">
        <v>26</v>
      </c>
      <c r="D41" s="23" t="s">
        <v>26</v>
      </c>
      <c r="E41" s="23" t="s">
        <v>27</v>
      </c>
      <c r="F41" s="23" t="s">
        <v>28</v>
      </c>
      <c r="G41" s="23" t="s">
        <v>27</v>
      </c>
      <c r="H41" s="23" t="s">
        <v>28</v>
      </c>
    </row>
    <row r="45" spans="2:13" x14ac:dyDescent="0.25">
      <c r="B45" s="1" t="s">
        <v>38</v>
      </c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</row>
    <row r="46" spans="2:13" x14ac:dyDescent="0.25">
      <c r="B46" s="3"/>
      <c r="C46" s="3"/>
      <c r="D46" s="3"/>
      <c r="E46" s="3"/>
      <c r="F46" s="3"/>
      <c r="G46" s="3"/>
      <c r="H46" s="3"/>
      <c r="K46" s="27"/>
      <c r="L46" s="27"/>
      <c r="M46" s="27"/>
    </row>
    <row r="47" spans="2:13" x14ac:dyDescent="0.25">
      <c r="B47" s="3" t="s">
        <v>12</v>
      </c>
      <c r="C47" s="15">
        <v>381000</v>
      </c>
      <c r="D47" s="15">
        <f>C47</f>
        <v>381000</v>
      </c>
      <c r="E47" s="24" t="s">
        <v>13</v>
      </c>
      <c r="F47" s="24" t="s">
        <v>13</v>
      </c>
      <c r="G47" s="15">
        <f>C47</f>
        <v>381000</v>
      </c>
      <c r="H47" s="15">
        <f>C47</f>
        <v>381000</v>
      </c>
      <c r="K47" s="25"/>
      <c r="L47" s="25"/>
      <c r="M47" s="25"/>
    </row>
    <row r="48" spans="2:13" x14ac:dyDescent="0.25">
      <c r="B48" s="3" t="s">
        <v>14</v>
      </c>
      <c r="C48" s="15">
        <v>309000</v>
      </c>
      <c r="D48" s="24" t="s">
        <v>15</v>
      </c>
      <c r="E48" s="15">
        <f>C48</f>
        <v>309000</v>
      </c>
      <c r="F48" s="15">
        <f>C48</f>
        <v>309000</v>
      </c>
      <c r="G48" s="15">
        <f>C48</f>
        <v>309000</v>
      </c>
      <c r="H48" s="15">
        <f>C48</f>
        <v>309000</v>
      </c>
      <c r="K48" s="25"/>
      <c r="L48" s="25"/>
      <c r="M48" s="25"/>
    </row>
    <row r="49" spans="2:13" x14ac:dyDescent="0.25">
      <c r="B49" s="3" t="s">
        <v>67</v>
      </c>
      <c r="C49" s="15">
        <v>448000</v>
      </c>
      <c r="D49" s="15">
        <f>C49</f>
        <v>448000</v>
      </c>
      <c r="E49" s="16">
        <f>(N10+N4+N13+N14)*7000</f>
        <v>805000</v>
      </c>
      <c r="F49" s="16">
        <f>(N10+N4+N14)*8000</f>
        <v>616000</v>
      </c>
      <c r="G49" s="16">
        <f>(N10+N13+N14)*7500</f>
        <v>697500</v>
      </c>
      <c r="H49" s="16">
        <f>(N10+N14)*10000</f>
        <v>550000</v>
      </c>
      <c r="K49" s="25"/>
      <c r="L49" s="25"/>
      <c r="M49" s="25"/>
    </row>
    <row r="50" spans="2:13" x14ac:dyDescent="0.25">
      <c r="B50" s="3" t="s">
        <v>18</v>
      </c>
      <c r="C50" s="15">
        <v>536000</v>
      </c>
      <c r="D50" s="16">
        <f>(N12+N5)*13000</f>
        <v>468000</v>
      </c>
      <c r="E50" s="15">
        <f>C50</f>
        <v>536000</v>
      </c>
      <c r="F50" s="15">
        <f>C50</f>
        <v>536000</v>
      </c>
      <c r="G50" s="15">
        <f>C50</f>
        <v>536000</v>
      </c>
      <c r="H50" s="15">
        <f>C50</f>
        <v>536000</v>
      </c>
    </row>
    <row r="51" spans="2:13" x14ac:dyDescent="0.25">
      <c r="B51" s="3" t="s">
        <v>20</v>
      </c>
      <c r="C51" s="15">
        <v>489000</v>
      </c>
      <c r="D51" s="15">
        <f>C51</f>
        <v>489000</v>
      </c>
      <c r="E51" s="24" t="s">
        <v>13</v>
      </c>
      <c r="F51" s="15">
        <f>C51</f>
        <v>489000</v>
      </c>
      <c r="G51" s="24" t="s">
        <v>13</v>
      </c>
      <c r="H51" s="15">
        <f>C51</f>
        <v>489000</v>
      </c>
    </row>
    <row r="52" spans="2:13" x14ac:dyDescent="0.25">
      <c r="B52" s="3" t="s">
        <v>22</v>
      </c>
      <c r="C52" s="15">
        <v>374000</v>
      </c>
      <c r="D52" s="15">
        <f>C52</f>
        <v>374000</v>
      </c>
      <c r="E52" s="24" t="s">
        <v>13</v>
      </c>
      <c r="F52" s="24" t="s">
        <v>13</v>
      </c>
      <c r="G52" s="24" t="s">
        <v>13</v>
      </c>
      <c r="H52" s="24" t="s">
        <v>13</v>
      </c>
    </row>
    <row r="53" spans="2:13" x14ac:dyDescent="0.25">
      <c r="B53" s="3"/>
      <c r="C53" s="4"/>
      <c r="D53" s="4"/>
      <c r="E53" s="4"/>
      <c r="F53" s="4"/>
      <c r="G53" s="4"/>
      <c r="H53" s="3"/>
    </row>
    <row r="54" spans="2:13" x14ac:dyDescent="0.25">
      <c r="B54" s="3" t="s">
        <v>33</v>
      </c>
      <c r="C54" s="15">
        <f>SUM(C47:C52)</f>
        <v>2537000</v>
      </c>
      <c r="D54" s="15">
        <f t="shared" ref="D54:H54" si="2">SUM(D47:D52)</f>
        <v>2160000</v>
      </c>
      <c r="E54" s="15">
        <f t="shared" si="2"/>
        <v>1650000</v>
      </c>
      <c r="F54" s="15">
        <f t="shared" si="2"/>
        <v>1950000</v>
      </c>
      <c r="G54" s="15">
        <f t="shared" si="2"/>
        <v>1923500</v>
      </c>
      <c r="H54" s="15">
        <f t="shared" si="2"/>
        <v>2265000</v>
      </c>
    </row>
    <row r="55" spans="2:13" x14ac:dyDescent="0.25">
      <c r="C55" s="23" t="s">
        <v>26</v>
      </c>
      <c r="D55" s="23" t="s">
        <v>26</v>
      </c>
      <c r="E55" s="23" t="s">
        <v>27</v>
      </c>
      <c r="F55" s="23" t="s">
        <v>28</v>
      </c>
      <c r="G55" s="23" t="s">
        <v>27</v>
      </c>
      <c r="H55" s="23" t="s">
        <v>28</v>
      </c>
    </row>
    <row r="59" spans="2:13" x14ac:dyDescent="0.25">
      <c r="B59" s="1" t="s">
        <v>39</v>
      </c>
      <c r="C59" s="1" t="s">
        <v>5</v>
      </c>
      <c r="D59" s="1" t="s">
        <v>6</v>
      </c>
      <c r="E59" s="1" t="s">
        <v>7</v>
      </c>
      <c r="F59" s="1" t="s">
        <v>8</v>
      </c>
      <c r="G59" s="1" t="s">
        <v>9</v>
      </c>
      <c r="H59" s="1" t="s">
        <v>10</v>
      </c>
    </row>
    <row r="60" spans="2:13" x14ac:dyDescent="0.25">
      <c r="B60" s="3" t="s">
        <v>40</v>
      </c>
      <c r="C60" s="3"/>
      <c r="D60" s="3"/>
      <c r="E60" s="3"/>
      <c r="F60" s="3"/>
      <c r="G60" s="3"/>
      <c r="H60" s="3"/>
    </row>
    <row r="61" spans="2:13" x14ac:dyDescent="0.25">
      <c r="B61" s="3" t="s">
        <v>12</v>
      </c>
      <c r="C61" s="15"/>
      <c r="D61" s="15"/>
      <c r="E61" s="10">
        <f>996497-239723</f>
        <v>756774</v>
      </c>
      <c r="F61" s="10">
        <f>E61</f>
        <v>756774</v>
      </c>
      <c r="G61" s="15"/>
      <c r="H61" s="13"/>
      <c r="L61" s="17"/>
    </row>
    <row r="62" spans="2:13" x14ac:dyDescent="0.25">
      <c r="B62" s="3" t="s">
        <v>14</v>
      </c>
      <c r="C62" s="15"/>
      <c r="D62" s="10">
        <f>496297-273613</f>
        <v>222684</v>
      </c>
      <c r="E62" s="15"/>
      <c r="F62" s="15"/>
      <c r="G62" s="15"/>
      <c r="H62" s="13"/>
      <c r="L62" s="17"/>
    </row>
    <row r="63" spans="2:13" x14ac:dyDescent="0.25">
      <c r="B63" s="3" t="s">
        <v>67</v>
      </c>
      <c r="C63" s="15"/>
      <c r="D63" s="15"/>
      <c r="E63" s="15"/>
      <c r="F63" s="15"/>
      <c r="G63" s="15"/>
      <c r="H63" s="13"/>
      <c r="L63" s="17"/>
    </row>
    <row r="64" spans="2:13" x14ac:dyDescent="0.25">
      <c r="B64" s="3" t="s">
        <v>18</v>
      </c>
      <c r="C64" s="15"/>
      <c r="D64" s="15"/>
      <c r="E64" s="15"/>
      <c r="F64" s="15"/>
      <c r="G64" s="15"/>
      <c r="H64" s="13"/>
      <c r="L64" s="17"/>
    </row>
    <row r="65" spans="2:8" x14ac:dyDescent="0.25">
      <c r="B65" s="3" t="s">
        <v>20</v>
      </c>
      <c r="C65" s="15"/>
      <c r="D65" s="15"/>
      <c r="E65" s="10">
        <f>1564909-933809</f>
        <v>631100</v>
      </c>
      <c r="F65" s="15"/>
      <c r="G65" s="10">
        <f>E65</f>
        <v>631100</v>
      </c>
      <c r="H65" s="13"/>
    </row>
    <row r="66" spans="2:8" x14ac:dyDescent="0.25">
      <c r="B66" s="3" t="s">
        <v>22</v>
      </c>
      <c r="C66" s="15"/>
      <c r="D66" s="15"/>
      <c r="E66" s="10">
        <f>637195-267807</f>
        <v>369388</v>
      </c>
      <c r="F66" s="10">
        <f>E66</f>
        <v>369388</v>
      </c>
      <c r="G66" s="10">
        <f>F66</f>
        <v>369388</v>
      </c>
      <c r="H66" s="10">
        <f>G66</f>
        <v>369388</v>
      </c>
    </row>
    <row r="67" spans="2:8" x14ac:dyDescent="0.25">
      <c r="B67" s="3"/>
      <c r="C67" s="4"/>
      <c r="D67" s="4"/>
      <c r="E67" s="4"/>
      <c r="F67" s="4"/>
      <c r="G67" s="4"/>
      <c r="H67" s="3"/>
    </row>
    <row r="68" spans="2:8" x14ac:dyDescent="0.25">
      <c r="B68" s="3" t="s">
        <v>33</v>
      </c>
      <c r="C68" s="15">
        <f>SUM(C61:C66)</f>
        <v>0</v>
      </c>
      <c r="D68" s="15">
        <f>SUM(D61:D66)</f>
        <v>222684</v>
      </c>
      <c r="E68" s="15">
        <f t="shared" ref="E68:H68" si="3">SUM(E61:E66)</f>
        <v>1757262</v>
      </c>
      <c r="F68" s="15">
        <f t="shared" si="3"/>
        <v>1126162</v>
      </c>
      <c r="G68" s="15">
        <f t="shared" si="3"/>
        <v>1000488</v>
      </c>
      <c r="H68" s="15">
        <f t="shared" si="3"/>
        <v>369388</v>
      </c>
    </row>
  </sheetData>
  <mergeCells count="4">
    <mergeCell ref="O18:R18"/>
    <mergeCell ref="K18:M18"/>
    <mergeCell ref="K32:M32"/>
    <mergeCell ref="K46:M46"/>
  </mergeCells>
  <phoneticPr fontId="3" type="noConversion"/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5"/>
  <sheetViews>
    <sheetView tabSelected="1" zoomScaleNormal="100" workbookViewId="0">
      <selection activeCell="N13" sqref="N13"/>
    </sheetView>
  </sheetViews>
  <sheetFormatPr baseColWidth="10" defaultColWidth="11.42578125" defaultRowHeight="15" x14ac:dyDescent="0.25"/>
  <cols>
    <col min="2" max="2" width="28.85546875" customWidth="1"/>
    <col min="3" max="4" width="15.28515625" customWidth="1"/>
    <col min="5" max="5" width="16" customWidth="1"/>
    <col min="6" max="7" width="15.7109375" customWidth="1"/>
    <col min="8" max="8" width="15.85546875" customWidth="1"/>
    <col min="11" max="11" width="20.140625" customWidth="1"/>
    <col min="12" max="12" width="15.28515625" customWidth="1"/>
    <col min="13" max="13" width="14.28515625" customWidth="1"/>
    <col min="14" max="14" width="12.85546875" customWidth="1"/>
    <col min="15" max="15" width="13.85546875" customWidth="1"/>
    <col min="16" max="17" width="14.5703125" customWidth="1"/>
    <col min="18" max="18" width="15.140625" customWidth="1"/>
  </cols>
  <sheetData>
    <row r="2" spans="2:13" ht="30" x14ac:dyDescent="0.25">
      <c r="K2" s="6" t="s">
        <v>0</v>
      </c>
      <c r="L2" s="7" t="s">
        <v>41</v>
      </c>
      <c r="M2" s="18" t="s">
        <v>42</v>
      </c>
    </row>
    <row r="3" spans="2:13" x14ac:dyDescent="0.25">
      <c r="B3" s="1" t="s">
        <v>43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K3" s="8" t="s">
        <v>11</v>
      </c>
      <c r="L3" s="11">
        <v>4982</v>
      </c>
      <c r="M3" s="20">
        <v>16404</v>
      </c>
    </row>
    <row r="4" spans="2:13" x14ac:dyDescent="0.25">
      <c r="B4" s="3"/>
      <c r="C4" s="3"/>
      <c r="D4" s="3"/>
      <c r="E4" s="3"/>
      <c r="F4" s="3"/>
      <c r="G4" s="3"/>
      <c r="H4" s="3"/>
      <c r="K4" s="8" t="s">
        <v>12</v>
      </c>
      <c r="L4" s="11">
        <v>4500</v>
      </c>
      <c r="M4" s="20">
        <v>12498</v>
      </c>
    </row>
    <row r="5" spans="2:13" x14ac:dyDescent="0.25">
      <c r="B5" s="3" t="s">
        <v>12</v>
      </c>
      <c r="C5" s="13">
        <f>L4</f>
        <v>4500</v>
      </c>
      <c r="D5" s="13">
        <f>C5</f>
        <v>4500</v>
      </c>
      <c r="E5" s="22" t="s">
        <v>13</v>
      </c>
      <c r="F5" s="22" t="s">
        <v>13</v>
      </c>
      <c r="G5" s="13">
        <f>C5</f>
        <v>4500</v>
      </c>
      <c r="H5" s="13">
        <f>C5</f>
        <v>4500</v>
      </c>
      <c r="K5" s="8" t="s">
        <v>14</v>
      </c>
      <c r="L5" s="11">
        <v>1678</v>
      </c>
      <c r="M5" s="20">
        <v>5060</v>
      </c>
    </row>
    <row r="6" spans="2:13" x14ac:dyDescent="0.25">
      <c r="B6" s="3" t="s">
        <v>14</v>
      </c>
      <c r="C6" s="13">
        <f>L5</f>
        <v>1678</v>
      </c>
      <c r="D6" s="22" t="s">
        <v>15</v>
      </c>
      <c r="E6" s="13">
        <f>C6</f>
        <v>1678</v>
      </c>
      <c r="F6" s="13">
        <f>C6</f>
        <v>1678</v>
      </c>
      <c r="G6" s="13">
        <f>C6</f>
        <v>1678</v>
      </c>
      <c r="H6" s="13">
        <f>C6</f>
        <v>1678</v>
      </c>
      <c r="K6" s="8" t="s">
        <v>44</v>
      </c>
      <c r="L6" s="11">
        <v>9417</v>
      </c>
      <c r="M6" s="20">
        <v>23363</v>
      </c>
    </row>
    <row r="7" spans="2:13" x14ac:dyDescent="0.25">
      <c r="B7" s="3" t="s">
        <v>67</v>
      </c>
      <c r="C7" s="13">
        <f>L7</f>
        <v>6108</v>
      </c>
      <c r="D7" s="13">
        <v>6108</v>
      </c>
      <c r="E7" s="9">
        <f>L9</f>
        <v>9277</v>
      </c>
      <c r="F7" s="9">
        <f>L8</f>
        <v>7970</v>
      </c>
      <c r="G7" s="9">
        <f>L9</f>
        <v>9277</v>
      </c>
      <c r="H7" s="9">
        <f>L8</f>
        <v>7970</v>
      </c>
      <c r="K7" s="8" t="s">
        <v>45</v>
      </c>
      <c r="L7" s="11">
        <v>6108</v>
      </c>
      <c r="M7" s="20">
        <v>15700</v>
      </c>
    </row>
    <row r="8" spans="2:13" x14ac:dyDescent="0.25">
      <c r="B8" s="3" t="s">
        <v>18</v>
      </c>
      <c r="C8" s="13">
        <f>L12</f>
        <v>4391</v>
      </c>
      <c r="D8" s="9">
        <f>L13</f>
        <v>4476</v>
      </c>
      <c r="E8" s="13">
        <v>4391</v>
      </c>
      <c r="F8" s="13">
        <v>4391</v>
      </c>
      <c r="G8" s="13">
        <f>C8</f>
        <v>4391</v>
      </c>
      <c r="H8" s="13">
        <f>C8</f>
        <v>4391</v>
      </c>
      <c r="K8" s="8" t="s">
        <v>46</v>
      </c>
      <c r="L8" s="11">
        <v>7970</v>
      </c>
      <c r="M8" s="20">
        <v>14150</v>
      </c>
    </row>
    <row r="9" spans="2:13" x14ac:dyDescent="0.25">
      <c r="B9" s="3" t="s">
        <v>20</v>
      </c>
      <c r="C9" s="13">
        <f>L14</f>
        <v>2649</v>
      </c>
      <c r="D9" s="13">
        <f>C9</f>
        <v>2649</v>
      </c>
      <c r="E9" s="22" t="s">
        <v>13</v>
      </c>
      <c r="F9" s="13">
        <f>C9</f>
        <v>2649</v>
      </c>
      <c r="G9" s="22" t="s">
        <v>13</v>
      </c>
      <c r="H9" s="13">
        <f>C9</f>
        <v>2649</v>
      </c>
      <c r="K9" s="8" t="s">
        <v>47</v>
      </c>
      <c r="L9" s="11">
        <v>9277</v>
      </c>
      <c r="M9" s="20">
        <v>13850</v>
      </c>
    </row>
    <row r="10" spans="2:13" x14ac:dyDescent="0.25">
      <c r="B10" s="3" t="s">
        <v>22</v>
      </c>
      <c r="C10" s="13">
        <f>L15</f>
        <v>1834</v>
      </c>
      <c r="D10" s="13">
        <f>C10</f>
        <v>1834</v>
      </c>
      <c r="E10" s="22" t="s">
        <v>13</v>
      </c>
      <c r="F10" s="22" t="s">
        <v>13</v>
      </c>
      <c r="G10" s="22" t="s">
        <v>13</v>
      </c>
      <c r="H10" s="22" t="s">
        <v>13</v>
      </c>
      <c r="K10" s="8" t="s">
        <v>23</v>
      </c>
      <c r="L10" s="11">
        <v>2887</v>
      </c>
      <c r="M10" s="20">
        <v>6874</v>
      </c>
    </row>
    <row r="11" spans="2:13" x14ac:dyDescent="0.25">
      <c r="B11" s="3"/>
      <c r="C11" s="3"/>
      <c r="D11" s="3"/>
      <c r="E11" s="3"/>
      <c r="F11" s="3"/>
      <c r="G11" s="3"/>
      <c r="H11" s="3"/>
      <c r="K11" s="8" t="s">
        <v>24</v>
      </c>
      <c r="L11" s="11">
        <v>8063</v>
      </c>
      <c r="M11" s="20">
        <v>9280</v>
      </c>
    </row>
    <row r="12" spans="2:13" x14ac:dyDescent="0.25">
      <c r="B12" s="3" t="s">
        <v>48</v>
      </c>
      <c r="C12" s="13">
        <f>SUM(C5:C10)</f>
        <v>21160</v>
      </c>
      <c r="D12" s="13">
        <f t="shared" ref="D12:H12" si="0">SUM(D5:D10)</f>
        <v>19567</v>
      </c>
      <c r="E12" s="13">
        <f t="shared" si="0"/>
        <v>15346</v>
      </c>
      <c r="F12" s="13">
        <f t="shared" si="0"/>
        <v>16688</v>
      </c>
      <c r="G12" s="13">
        <f t="shared" si="0"/>
        <v>19846</v>
      </c>
      <c r="H12" s="13">
        <f t="shared" si="0"/>
        <v>21188</v>
      </c>
      <c r="K12" s="8" t="s">
        <v>18</v>
      </c>
      <c r="L12" s="11">
        <v>4391</v>
      </c>
      <c r="M12" s="20">
        <v>9790</v>
      </c>
    </row>
    <row r="13" spans="2:13" x14ac:dyDescent="0.25">
      <c r="C13" s="23" t="s">
        <v>26</v>
      </c>
      <c r="D13" s="23" t="s">
        <v>26</v>
      </c>
      <c r="E13" s="23" t="s">
        <v>27</v>
      </c>
      <c r="F13" s="23" t="s">
        <v>28</v>
      </c>
      <c r="G13" s="23" t="s">
        <v>27</v>
      </c>
      <c r="H13" s="23" t="s">
        <v>28</v>
      </c>
      <c r="K13" s="8" t="s">
        <v>49</v>
      </c>
      <c r="L13" s="11">
        <v>4476</v>
      </c>
      <c r="M13" s="20">
        <v>9675</v>
      </c>
    </row>
    <row r="14" spans="2:13" x14ac:dyDescent="0.25">
      <c r="K14" s="8" t="s">
        <v>29</v>
      </c>
      <c r="L14" s="11">
        <v>2649</v>
      </c>
      <c r="M14" s="20">
        <v>9405</v>
      </c>
    </row>
    <row r="15" spans="2:13" x14ac:dyDescent="0.25">
      <c r="K15" s="8" t="s">
        <v>22</v>
      </c>
      <c r="L15" s="11">
        <v>1834</v>
      </c>
      <c r="M15" s="20">
        <v>4907</v>
      </c>
    </row>
    <row r="17" spans="2:18" x14ac:dyDescent="0.25">
      <c r="B17" s="1" t="s">
        <v>72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</row>
    <row r="18" spans="2:18" x14ac:dyDescent="0.25">
      <c r="B18" s="3"/>
      <c r="C18" s="3"/>
      <c r="D18" s="3"/>
      <c r="E18" s="3"/>
      <c r="F18" s="3"/>
      <c r="G18" s="3"/>
      <c r="H18" s="3"/>
      <c r="K18" s="30" t="s">
        <v>50</v>
      </c>
      <c r="L18" s="30"/>
    </row>
    <row r="19" spans="2:18" x14ac:dyDescent="0.25">
      <c r="B19" s="3" t="s">
        <v>12</v>
      </c>
      <c r="C19" s="15">
        <f>L4*K19</f>
        <v>5850000</v>
      </c>
      <c r="D19" s="15">
        <f>C19</f>
        <v>5850000</v>
      </c>
      <c r="E19" s="22" t="s">
        <v>13</v>
      </c>
      <c r="F19" s="22" t="s">
        <v>13</v>
      </c>
      <c r="G19" s="15">
        <f>C19</f>
        <v>5850000</v>
      </c>
      <c r="H19" s="15">
        <f>C19</f>
        <v>5850000</v>
      </c>
      <c r="K19" s="28">
        <v>1300</v>
      </c>
      <c r="L19" s="28"/>
    </row>
    <row r="20" spans="2:18" x14ac:dyDescent="0.25">
      <c r="B20" s="3" t="s">
        <v>14</v>
      </c>
      <c r="C20" s="15">
        <f>L5*K19</f>
        <v>2181400</v>
      </c>
      <c r="D20" s="22" t="s">
        <v>15</v>
      </c>
      <c r="E20" s="15">
        <f>C20</f>
        <v>2181400</v>
      </c>
      <c r="F20" s="15">
        <f>C20</f>
        <v>2181400</v>
      </c>
      <c r="G20" s="15">
        <f>C20</f>
        <v>2181400</v>
      </c>
      <c r="H20" s="15">
        <f>C20</f>
        <v>2181400</v>
      </c>
    </row>
    <row r="21" spans="2:18" x14ac:dyDescent="0.25">
      <c r="B21" s="3" t="s">
        <v>67</v>
      </c>
      <c r="C21" s="15">
        <f>L10*K19</f>
        <v>3753100</v>
      </c>
      <c r="D21" s="15">
        <f>C21</f>
        <v>3753100</v>
      </c>
      <c r="E21" s="16">
        <f>L9*K19</f>
        <v>12060100</v>
      </c>
      <c r="F21" s="16">
        <f>L8*K19</f>
        <v>10361000</v>
      </c>
      <c r="G21" s="16">
        <f>L9*K19</f>
        <v>12060100</v>
      </c>
      <c r="H21" s="16">
        <f>L8*K19</f>
        <v>10361000</v>
      </c>
      <c r="K21" s="30" t="s">
        <v>51</v>
      </c>
      <c r="L21" s="30"/>
    </row>
    <row r="22" spans="2:18" x14ac:dyDescent="0.25">
      <c r="B22" s="3" t="s">
        <v>18</v>
      </c>
      <c r="C22" s="15">
        <f>L12*K19</f>
        <v>5708300</v>
      </c>
      <c r="D22" s="16">
        <f>L13*K19</f>
        <v>5818800</v>
      </c>
      <c r="E22" s="15">
        <f>C22</f>
        <v>5708300</v>
      </c>
      <c r="F22" s="15">
        <f>C22</f>
        <v>5708300</v>
      </c>
      <c r="G22" s="15">
        <f>C22</f>
        <v>5708300</v>
      </c>
      <c r="H22" s="15">
        <f>C22</f>
        <v>5708300</v>
      </c>
      <c r="K22" s="31">
        <v>10500</v>
      </c>
      <c r="L22" s="32"/>
      <c r="N22" t="s">
        <v>71</v>
      </c>
    </row>
    <row r="23" spans="2:18" x14ac:dyDescent="0.25">
      <c r="B23" s="3" t="s">
        <v>20</v>
      </c>
      <c r="C23" s="15">
        <f>L14*K19</f>
        <v>3443700</v>
      </c>
      <c r="D23" s="15">
        <f>C23</f>
        <v>3443700</v>
      </c>
      <c r="E23" s="22" t="s">
        <v>13</v>
      </c>
      <c r="F23" s="15">
        <f>C23</f>
        <v>3443700</v>
      </c>
      <c r="G23" s="22" t="s">
        <v>13</v>
      </c>
      <c r="H23" s="15">
        <f>C23</f>
        <v>3443700</v>
      </c>
    </row>
    <row r="24" spans="2:18" x14ac:dyDescent="0.25">
      <c r="B24" s="3" t="s">
        <v>22</v>
      </c>
      <c r="C24" s="15">
        <f>L15*K19</f>
        <v>2384200</v>
      </c>
      <c r="D24" s="15">
        <f>C24</f>
        <v>2384200</v>
      </c>
      <c r="E24" s="22" t="s">
        <v>13</v>
      </c>
      <c r="F24" s="22" t="s">
        <v>13</v>
      </c>
      <c r="G24" s="22" t="s">
        <v>13</v>
      </c>
      <c r="H24" s="22" t="s">
        <v>13</v>
      </c>
      <c r="K24" s="30" t="s">
        <v>52</v>
      </c>
      <c r="L24" s="30"/>
    </row>
    <row r="25" spans="2:18" x14ac:dyDescent="0.25">
      <c r="B25" s="3"/>
      <c r="C25" s="4"/>
      <c r="D25" s="4"/>
      <c r="E25" s="4"/>
      <c r="F25" s="4"/>
      <c r="G25" s="4"/>
      <c r="H25" s="3"/>
      <c r="K25" s="28">
        <v>0</v>
      </c>
      <c r="L25" s="28"/>
    </row>
    <row r="26" spans="2:18" x14ac:dyDescent="0.25">
      <c r="B26" s="3" t="s">
        <v>33</v>
      </c>
      <c r="C26" s="15">
        <f>SUM(C19:C24)</f>
        <v>23320700</v>
      </c>
      <c r="D26" s="15">
        <f>SUM(D19:D24)</f>
        <v>21249800</v>
      </c>
      <c r="E26" s="15">
        <f>SUM(E19:E24)</f>
        <v>19949800</v>
      </c>
      <c r="F26" s="15">
        <f>SUM(F19:F24)</f>
        <v>21694400</v>
      </c>
      <c r="G26" s="15">
        <f t="shared" ref="G26:H26" si="1">SUM(G19:G24)</f>
        <v>25799800</v>
      </c>
      <c r="H26" s="15">
        <f t="shared" si="1"/>
        <v>27544400</v>
      </c>
    </row>
    <row r="27" spans="2:18" x14ac:dyDescent="0.25">
      <c r="C27" s="23" t="s">
        <v>26</v>
      </c>
      <c r="D27" s="23" t="s">
        <v>26</v>
      </c>
      <c r="E27" s="23" t="s">
        <v>27</v>
      </c>
      <c r="F27" s="23" t="s">
        <v>28</v>
      </c>
      <c r="G27" s="23" t="s">
        <v>27</v>
      </c>
      <c r="H27" s="23" t="s">
        <v>28</v>
      </c>
    </row>
    <row r="31" spans="2:18" x14ac:dyDescent="0.25">
      <c r="B31" s="1" t="s">
        <v>53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K31" s="29" t="s">
        <v>54</v>
      </c>
      <c r="L31" s="29"/>
      <c r="M31" s="29"/>
      <c r="N31" s="29"/>
      <c r="O31" s="29"/>
      <c r="P31" s="29"/>
      <c r="Q31" s="29"/>
      <c r="R31" s="29"/>
    </row>
    <row r="32" spans="2:18" x14ac:dyDescent="0.25">
      <c r="B32" s="3"/>
      <c r="C32" s="3"/>
      <c r="D32" s="3"/>
      <c r="E32" s="3"/>
      <c r="F32" s="3"/>
      <c r="G32" s="3"/>
      <c r="H32" s="3"/>
      <c r="K32" s="2"/>
      <c r="L32" s="2" t="s">
        <v>4</v>
      </c>
      <c r="M32" s="2" t="s">
        <v>31</v>
      </c>
      <c r="N32" s="2" t="s">
        <v>32</v>
      </c>
      <c r="O32" s="2" t="s">
        <v>55</v>
      </c>
      <c r="P32" s="2" t="s">
        <v>56</v>
      </c>
      <c r="Q32" s="2" t="s">
        <v>57</v>
      </c>
      <c r="R32" s="2" t="s">
        <v>74</v>
      </c>
    </row>
    <row r="33" spans="2:18" x14ac:dyDescent="0.25">
      <c r="B33" s="3" t="s">
        <v>58</v>
      </c>
      <c r="C33" s="15">
        <v>140000000</v>
      </c>
      <c r="D33" s="15">
        <f>C33</f>
        <v>140000000</v>
      </c>
      <c r="E33" s="22" t="s">
        <v>13</v>
      </c>
      <c r="F33" s="22" t="s">
        <v>13</v>
      </c>
      <c r="G33" s="15">
        <f>C33</f>
        <v>140000000</v>
      </c>
      <c r="H33" s="15">
        <f>C33</f>
        <v>140000000</v>
      </c>
      <c r="K33" s="3" t="s">
        <v>5</v>
      </c>
      <c r="L33" s="12">
        <f>Skoledrift!P20</f>
        <v>0.75835475578406175</v>
      </c>
      <c r="M33" s="15"/>
      <c r="N33" s="15">
        <f>Skoledrift!R20</f>
        <v>0</v>
      </c>
      <c r="O33" s="13"/>
      <c r="P33" s="15">
        <f>O33*$K$19</f>
        <v>0</v>
      </c>
      <c r="Q33" s="15">
        <f>M33+N33+P33</f>
        <v>0</v>
      </c>
      <c r="R33" s="15">
        <f>C40</f>
        <v>331449000</v>
      </c>
    </row>
    <row r="34" spans="2:18" x14ac:dyDescent="0.25">
      <c r="B34" s="3" t="s">
        <v>14</v>
      </c>
      <c r="C34" s="15">
        <f>L5*K22</f>
        <v>17619000</v>
      </c>
      <c r="D34" s="22" t="s">
        <v>15</v>
      </c>
      <c r="E34" s="15">
        <f>C34</f>
        <v>17619000</v>
      </c>
      <c r="F34" s="15">
        <f>C34</f>
        <v>17619000</v>
      </c>
      <c r="G34" s="15">
        <f>C34</f>
        <v>17619000</v>
      </c>
      <c r="H34" s="15">
        <f>C34</f>
        <v>17619000</v>
      </c>
      <c r="K34" s="3" t="s">
        <v>6</v>
      </c>
      <c r="L34" s="12">
        <f>Skoledrift!P21</f>
        <v>0.79837618403247634</v>
      </c>
      <c r="M34" s="15">
        <f>Skoledrift!Q21*-1</f>
        <v>-3347000</v>
      </c>
      <c r="N34" s="15">
        <f>Skoledrift!R21</f>
        <v>222684</v>
      </c>
      <c r="O34" s="13"/>
      <c r="P34" s="15">
        <f>D26-C26</f>
        <v>-2070900</v>
      </c>
      <c r="Q34" s="15">
        <f t="shared" ref="Q34:Q42" si="2">M34+N34+P34</f>
        <v>-5195216</v>
      </c>
      <c r="R34" s="15">
        <f>D40</f>
        <v>350562500</v>
      </c>
    </row>
    <row r="35" spans="2:18" x14ac:dyDescent="0.25">
      <c r="B35" s="3" t="s">
        <v>68</v>
      </c>
      <c r="C35" s="15">
        <v>80653000</v>
      </c>
      <c r="D35" s="15">
        <f>C35</f>
        <v>80653000</v>
      </c>
      <c r="E35" s="16">
        <v>215627500</v>
      </c>
      <c r="F35" s="16">
        <v>162258000</v>
      </c>
      <c r="G35" s="16">
        <v>215627500</v>
      </c>
      <c r="H35" s="16">
        <v>162258000</v>
      </c>
      <c r="K35" s="3" t="s">
        <v>7</v>
      </c>
      <c r="L35" s="12">
        <f>Skoledrift!P22</f>
        <v>0.72929542645241041</v>
      </c>
      <c r="M35" s="15">
        <f>Skoledrift!Q22*-1</f>
        <v>-4532000</v>
      </c>
      <c r="N35" s="15">
        <f>Skoledrift!R22</f>
        <v>1757262</v>
      </c>
      <c r="O35" s="13"/>
      <c r="P35" s="15">
        <f>E26-C26</f>
        <v>-3370900</v>
      </c>
      <c r="Q35" s="15">
        <f t="shared" si="2"/>
        <v>-6145638</v>
      </c>
      <c r="R35" s="15">
        <f>E40</f>
        <v>279352000</v>
      </c>
    </row>
    <row r="36" spans="2:18" x14ac:dyDescent="0.25">
      <c r="B36" s="3" t="s">
        <v>18</v>
      </c>
      <c r="C36" s="15">
        <f>L12*K22</f>
        <v>46105500</v>
      </c>
      <c r="D36" s="16">
        <v>82838000</v>
      </c>
      <c r="E36" s="15">
        <f>C36</f>
        <v>46105500</v>
      </c>
      <c r="F36" s="15">
        <f>C36</f>
        <v>46105500</v>
      </c>
      <c r="G36" s="15">
        <f>C36</f>
        <v>46105500</v>
      </c>
      <c r="H36" s="15">
        <f>C36</f>
        <v>46105500</v>
      </c>
      <c r="K36" s="3" t="s">
        <v>8</v>
      </c>
      <c r="L36" s="12">
        <f>Skoledrift!P23</f>
        <v>0.78771695594125501</v>
      </c>
      <c r="M36" s="15">
        <f>Skoledrift!Q23*-1</f>
        <v>-3692000</v>
      </c>
      <c r="N36" s="15">
        <f>Skoledrift!R23</f>
        <v>1126162</v>
      </c>
      <c r="O36" s="13"/>
      <c r="P36" s="15">
        <f>F26-C26</f>
        <v>-1626300</v>
      </c>
      <c r="Q36" s="15">
        <f>M36+N36+P36</f>
        <v>-4192138</v>
      </c>
      <c r="R36" s="15">
        <f>F40</f>
        <v>253797000</v>
      </c>
    </row>
    <row r="37" spans="2:18" x14ac:dyDescent="0.25">
      <c r="B37" s="3" t="s">
        <v>20</v>
      </c>
      <c r="C37" s="15">
        <f>L14*K22</f>
        <v>27814500</v>
      </c>
      <c r="D37" s="15">
        <f>C37</f>
        <v>27814500</v>
      </c>
      <c r="E37" s="22" t="s">
        <v>13</v>
      </c>
      <c r="F37" s="15">
        <f>C37</f>
        <v>27814500</v>
      </c>
      <c r="G37" s="22" t="s">
        <v>13</v>
      </c>
      <c r="H37" s="15">
        <f>C37</f>
        <v>27814500</v>
      </c>
      <c r="K37" s="3" t="s">
        <v>9</v>
      </c>
      <c r="L37" s="12">
        <f>Skoledrift!P24</f>
        <v>0.6217070600632244</v>
      </c>
      <c r="M37" s="15">
        <f>Skoledrift!Q24*-1</f>
        <v>-3178500</v>
      </c>
      <c r="N37" s="15">
        <f>Skoledrift!R24</f>
        <v>1000488</v>
      </c>
      <c r="O37" s="13"/>
      <c r="P37" s="15">
        <f>G26-C26</f>
        <v>2479100</v>
      </c>
      <c r="Q37" s="15">
        <f t="shared" si="2"/>
        <v>301088</v>
      </c>
      <c r="R37" s="15">
        <f>G40</f>
        <v>419352000</v>
      </c>
    </row>
    <row r="38" spans="2:18" x14ac:dyDescent="0.25">
      <c r="B38" s="3" t="s">
        <v>22</v>
      </c>
      <c r="C38" s="15">
        <f>L15*K22</f>
        <v>19257000</v>
      </c>
      <c r="D38" s="15">
        <f>C38</f>
        <v>19257000</v>
      </c>
      <c r="E38" s="22" t="s">
        <v>13</v>
      </c>
      <c r="F38" s="22" t="s">
        <v>13</v>
      </c>
      <c r="G38" s="22" t="s">
        <v>13</v>
      </c>
      <c r="H38" s="22" t="s">
        <v>13</v>
      </c>
      <c r="K38" s="3" t="s">
        <v>10</v>
      </c>
      <c r="L38" s="12">
        <f>Skoledrift!P25</f>
        <v>0.6636670416197975</v>
      </c>
      <c r="M38" s="15">
        <f>Skoledrift!Q25*-1</f>
        <v>-1322000</v>
      </c>
      <c r="N38" s="15">
        <f>Skoledrift!R25</f>
        <v>369388</v>
      </c>
      <c r="O38" s="13"/>
      <c r="P38" s="15">
        <f>H26-C26</f>
        <v>4223700</v>
      </c>
      <c r="Q38" s="15">
        <f t="shared" si="2"/>
        <v>3271088</v>
      </c>
      <c r="R38" s="15">
        <f>H40</f>
        <v>393797000</v>
      </c>
    </row>
    <row r="39" spans="2:18" x14ac:dyDescent="0.25">
      <c r="B39" s="3"/>
      <c r="C39" s="4"/>
      <c r="D39" s="4"/>
      <c r="E39" s="4"/>
      <c r="F39" s="4"/>
      <c r="G39" s="4"/>
      <c r="H39" s="5"/>
      <c r="K39" s="3" t="s">
        <v>34</v>
      </c>
      <c r="L39" s="12">
        <f>Skoledrift!P26</f>
        <v>0.76623376623376627</v>
      </c>
      <c r="M39" s="15">
        <f>Skoledrift!Q26*-1</f>
        <v>-7879000</v>
      </c>
      <c r="N39" s="15">
        <f>Skoledrift!R26</f>
        <v>1979946</v>
      </c>
      <c r="O39" s="13"/>
      <c r="P39" s="15">
        <f>P34+P35</f>
        <v>-5441800</v>
      </c>
      <c r="Q39" s="15">
        <f t="shared" si="2"/>
        <v>-11340854</v>
      </c>
      <c r="R39" s="15">
        <f>D36+E35</f>
        <v>298465500</v>
      </c>
    </row>
    <row r="40" spans="2:18" x14ac:dyDescent="0.25">
      <c r="B40" s="3" t="s">
        <v>33</v>
      </c>
      <c r="C40" s="15">
        <f>SUM(C33:C38)</f>
        <v>331449000</v>
      </c>
      <c r="D40" s="15">
        <f>SUM(D33:D38)</f>
        <v>350562500</v>
      </c>
      <c r="E40" s="15">
        <f>SUM(E33:E38)</f>
        <v>279352000</v>
      </c>
      <c r="F40" s="15">
        <f>SUM(F33:F38)</f>
        <v>253797000</v>
      </c>
      <c r="G40" s="15">
        <f t="shared" ref="G40:H40" si="3">SUM(G33:G38)</f>
        <v>419352000</v>
      </c>
      <c r="H40" s="15">
        <f t="shared" si="3"/>
        <v>393797000</v>
      </c>
      <c r="K40" s="3" t="s">
        <v>35</v>
      </c>
      <c r="L40" s="12">
        <f>Skoledrift!P27</f>
        <v>0.83098591549295775</v>
      </c>
      <c r="M40" s="15">
        <f>Skoledrift!Q27*-1</f>
        <v>-7039000</v>
      </c>
      <c r="N40" s="15">
        <f>Skoledrift!R27</f>
        <v>1348846</v>
      </c>
      <c r="O40" s="13"/>
      <c r="P40" s="15">
        <f>P34+P36</f>
        <v>-3697200</v>
      </c>
      <c r="Q40" s="15">
        <f t="shared" si="2"/>
        <v>-9387354</v>
      </c>
      <c r="R40" s="15">
        <f>D36+F35+F37</f>
        <v>272910500</v>
      </c>
    </row>
    <row r="41" spans="2:18" x14ac:dyDescent="0.25">
      <c r="C41" s="23" t="s">
        <v>26</v>
      </c>
      <c r="D41" s="23" t="s">
        <v>26</v>
      </c>
      <c r="E41" s="23" t="s">
        <v>27</v>
      </c>
      <c r="F41" s="23" t="s">
        <v>28</v>
      </c>
      <c r="G41" s="23" t="s">
        <v>27</v>
      </c>
      <c r="H41" s="23" t="s">
        <v>28</v>
      </c>
      <c r="K41" s="3" t="s">
        <v>36</v>
      </c>
      <c r="L41" s="12">
        <f>Skoledrift!P28</f>
        <v>0.64835164835164838</v>
      </c>
      <c r="M41" s="15">
        <f>Skoledrift!Q28*-1</f>
        <v>-6525500</v>
      </c>
      <c r="N41" s="15">
        <f>Skoledrift!R28</f>
        <v>1223172</v>
      </c>
      <c r="O41" s="13"/>
      <c r="P41" s="15">
        <f>P34+P37</f>
        <v>408200</v>
      </c>
      <c r="Q41" s="15">
        <f t="shared" si="2"/>
        <v>-4894128</v>
      </c>
      <c r="R41" s="15">
        <f>D36+G35+G33</f>
        <v>438465500</v>
      </c>
    </row>
    <row r="42" spans="2:18" x14ac:dyDescent="0.25">
      <c r="K42" s="3" t="s">
        <v>37</v>
      </c>
      <c r="L42" s="12">
        <f>Skoledrift!P29</f>
        <v>0.69411764705882351</v>
      </c>
      <c r="M42" s="15">
        <f>Skoledrift!Q29*-1</f>
        <v>-4669000</v>
      </c>
      <c r="N42" s="15">
        <f>Skoledrift!R29</f>
        <v>592072</v>
      </c>
      <c r="O42" s="13"/>
      <c r="P42" s="15">
        <f>P34+P38</f>
        <v>2152800</v>
      </c>
      <c r="Q42" s="15">
        <f t="shared" si="2"/>
        <v>-1924128</v>
      </c>
      <c r="R42" s="15">
        <f>D36+H35+H33+H37</f>
        <v>412910500</v>
      </c>
    </row>
    <row r="43" spans="2:18" x14ac:dyDescent="0.25">
      <c r="B43" t="s">
        <v>69</v>
      </c>
      <c r="C43" t="s">
        <v>59</v>
      </c>
    </row>
    <row r="44" spans="2:18" x14ac:dyDescent="0.25">
      <c r="B44" t="s">
        <v>70</v>
      </c>
      <c r="C44" t="s">
        <v>60</v>
      </c>
    </row>
    <row r="45" spans="2:18" x14ac:dyDescent="0.25">
      <c r="K45" s="29" t="s">
        <v>61</v>
      </c>
      <c r="L45" s="29"/>
      <c r="M45" s="29"/>
      <c r="O45" s="35" t="s">
        <v>73</v>
      </c>
      <c r="P45" s="36"/>
      <c r="Q45" s="36"/>
      <c r="R45" s="37"/>
    </row>
    <row r="46" spans="2:18" x14ac:dyDescent="0.25">
      <c r="K46" s="19" t="s">
        <v>5</v>
      </c>
      <c r="L46" s="33">
        <v>0</v>
      </c>
      <c r="M46" s="33"/>
      <c r="O46" s="34" t="s">
        <v>5</v>
      </c>
      <c r="P46" s="34"/>
      <c r="Q46" s="38">
        <v>0</v>
      </c>
      <c r="R46" s="39"/>
    </row>
    <row r="47" spans="2:18" x14ac:dyDescent="0.25">
      <c r="K47" s="3" t="s">
        <v>6</v>
      </c>
      <c r="L47" s="33">
        <f>Q34-$Q$33</f>
        <v>-5195216</v>
      </c>
      <c r="M47" s="33"/>
      <c r="O47" s="34" t="s">
        <v>6</v>
      </c>
      <c r="P47" s="34"/>
      <c r="Q47" s="38">
        <f>C34*-1</f>
        <v>-17619000</v>
      </c>
      <c r="R47" s="39"/>
    </row>
    <row r="48" spans="2:18" x14ac:dyDescent="0.25">
      <c r="K48" s="3" t="s">
        <v>7</v>
      </c>
      <c r="L48" s="33">
        <f t="shared" ref="L48:L55" si="4">Q35-$Q$33</f>
        <v>-6145638</v>
      </c>
      <c r="M48" s="33"/>
      <c r="O48" s="34" t="s">
        <v>7</v>
      </c>
      <c r="P48" s="34"/>
      <c r="Q48" s="38">
        <f>(C33++C37+C38+C35)*-1</f>
        <v>-267724500</v>
      </c>
      <c r="R48" s="39"/>
    </row>
    <row r="49" spans="11:18" x14ac:dyDescent="0.25">
      <c r="K49" s="3" t="s">
        <v>8</v>
      </c>
      <c r="L49" s="33">
        <f t="shared" si="4"/>
        <v>-4192138</v>
      </c>
      <c r="M49" s="33"/>
      <c r="O49" s="34" t="s">
        <v>8</v>
      </c>
      <c r="P49" s="34"/>
      <c r="Q49" s="38">
        <f>(C33+C38+C35)*-1</f>
        <v>-239910000</v>
      </c>
      <c r="R49" s="39"/>
    </row>
    <row r="50" spans="11:18" x14ac:dyDescent="0.25">
      <c r="K50" s="3" t="s">
        <v>9</v>
      </c>
      <c r="L50" s="33">
        <f t="shared" si="4"/>
        <v>301088</v>
      </c>
      <c r="M50" s="33"/>
      <c r="O50" s="34" t="s">
        <v>9</v>
      </c>
      <c r="P50" s="34"/>
      <c r="Q50" s="38">
        <f>(C37+C38+C35)*-1</f>
        <v>-127724500</v>
      </c>
      <c r="R50" s="39"/>
    </row>
    <row r="51" spans="11:18" x14ac:dyDescent="0.25">
      <c r="K51" s="3" t="s">
        <v>10</v>
      </c>
      <c r="L51" s="33">
        <f t="shared" si="4"/>
        <v>3271088</v>
      </c>
      <c r="M51" s="33"/>
      <c r="O51" s="34" t="s">
        <v>10</v>
      </c>
      <c r="P51" s="34"/>
      <c r="Q51" s="38">
        <f>(C38+C35)*-1</f>
        <v>-99910000</v>
      </c>
      <c r="R51" s="39"/>
    </row>
    <row r="52" spans="11:18" x14ac:dyDescent="0.25">
      <c r="K52" s="3" t="s">
        <v>34</v>
      </c>
      <c r="L52" s="33">
        <f t="shared" si="4"/>
        <v>-11340854</v>
      </c>
      <c r="M52" s="33"/>
      <c r="O52" s="34" t="s">
        <v>34</v>
      </c>
      <c r="P52" s="34"/>
      <c r="Q52" s="38">
        <f>Q47+Q48</f>
        <v>-285343500</v>
      </c>
      <c r="R52" s="39"/>
    </row>
    <row r="53" spans="11:18" x14ac:dyDescent="0.25">
      <c r="K53" s="3" t="s">
        <v>35</v>
      </c>
      <c r="L53" s="33">
        <f t="shared" si="4"/>
        <v>-9387354</v>
      </c>
      <c r="M53" s="33"/>
      <c r="O53" s="34" t="s">
        <v>35</v>
      </c>
      <c r="P53" s="34"/>
      <c r="Q53" s="38">
        <f>Q47+Q49</f>
        <v>-257529000</v>
      </c>
      <c r="R53" s="39"/>
    </row>
    <row r="54" spans="11:18" x14ac:dyDescent="0.25">
      <c r="K54" s="3" t="s">
        <v>36</v>
      </c>
      <c r="L54" s="33">
        <f t="shared" si="4"/>
        <v>-4894128</v>
      </c>
      <c r="M54" s="33"/>
      <c r="O54" s="34" t="s">
        <v>36</v>
      </c>
      <c r="P54" s="34"/>
      <c r="Q54" s="38">
        <f>Q47+Q50</f>
        <v>-145343500</v>
      </c>
      <c r="R54" s="39"/>
    </row>
    <row r="55" spans="11:18" x14ac:dyDescent="0.25">
      <c r="K55" s="3" t="s">
        <v>37</v>
      </c>
      <c r="L55" s="33">
        <f t="shared" si="4"/>
        <v>-1924128</v>
      </c>
      <c r="M55" s="33"/>
      <c r="O55" s="34" t="s">
        <v>37</v>
      </c>
      <c r="P55" s="34"/>
      <c r="Q55" s="38">
        <f>Q47+Q51</f>
        <v>-117529000</v>
      </c>
      <c r="R55" s="39"/>
    </row>
  </sheetData>
  <mergeCells count="39">
    <mergeCell ref="Q55:R55"/>
    <mergeCell ref="Q50:R50"/>
    <mergeCell ref="Q51:R51"/>
    <mergeCell ref="Q52:R52"/>
    <mergeCell ref="Q53:R53"/>
    <mergeCell ref="Q54:R54"/>
    <mergeCell ref="O45:R45"/>
    <mergeCell ref="Q46:R46"/>
    <mergeCell ref="Q47:R47"/>
    <mergeCell ref="Q48:R48"/>
    <mergeCell ref="Q49:R49"/>
    <mergeCell ref="L55:M5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L50:M50"/>
    <mergeCell ref="L51:M51"/>
    <mergeCell ref="L52:M52"/>
    <mergeCell ref="L53:M53"/>
    <mergeCell ref="L54:M54"/>
    <mergeCell ref="K45:M45"/>
    <mergeCell ref="L46:M46"/>
    <mergeCell ref="L47:M47"/>
    <mergeCell ref="L48:M48"/>
    <mergeCell ref="L49:M49"/>
    <mergeCell ref="K25:L25"/>
    <mergeCell ref="K31:R31"/>
    <mergeCell ref="K18:L18"/>
    <mergeCell ref="K19:L19"/>
    <mergeCell ref="K21:L21"/>
    <mergeCell ref="K22:L22"/>
    <mergeCell ref="K24:L24"/>
  </mergeCells>
  <phoneticPr fontId="3" type="noConversion"/>
  <pageMargins left="0.7" right="0.7" top="0.75" bottom="0.75" header="0.3" footer="0.3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C8437BD770EA408BB629DBD200CA5E" ma:contentTypeVersion="2" ma:contentTypeDescription="Opprett et nytt dokument." ma:contentTypeScope="" ma:versionID="e2db383996d5be2d99185a571fb85a6b">
  <xsd:schema xmlns:xsd="http://www.w3.org/2001/XMLSchema" xmlns:xs="http://www.w3.org/2001/XMLSchema" xmlns:p="http://schemas.microsoft.com/office/2006/metadata/properties" xmlns:ns2="85547964-2f96-485f-addf-8077eb734970" targetNamespace="http://schemas.microsoft.com/office/2006/metadata/properties" ma:root="true" ma:fieldsID="d7671ac2ce0651cfdd7a717749bedaaf" ns2:_="">
    <xsd:import namespace="85547964-2f96-485f-addf-8077eb734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47964-2f96-485f-addf-8077eb734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2301A-C3A9-4AD6-8E74-1E513B1A70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547964-2f96-485f-addf-8077eb734970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B40FA-4685-4D87-8519-D651FAD89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47964-2f96-485f-addf-8077eb734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688310-0EB5-4E65-8B90-FC6EEAE660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Skoledrift</vt:lpstr>
      <vt:lpstr>Skolebygg og oppsummering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Arne Børresen</dc:creator>
  <cp:keywords/>
  <dc:description/>
  <cp:lastModifiedBy>Heidi Kristiansen</cp:lastModifiedBy>
  <cp:revision/>
  <cp:lastPrinted>2021-06-08T11:40:32Z</cp:lastPrinted>
  <dcterms:created xsi:type="dcterms:W3CDTF">2021-05-19T11:31:05Z</dcterms:created>
  <dcterms:modified xsi:type="dcterms:W3CDTF">2021-09-15T08:43:58Z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0x01010014C8437BD770EA408BB629DBD200CA5E</vt:lpwstr>
  </property>
</Properties>
</file>